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svetanova\Desktop\01.2024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L19" i="5" l="1"/>
  <c r="I19" i="5"/>
  <c r="K19" i="5" s="1"/>
  <c r="H19" i="5"/>
  <c r="E19" i="5"/>
  <c r="C19" i="5"/>
  <c r="L18" i="5"/>
  <c r="I18" i="5"/>
  <c r="K18" i="5" s="1"/>
  <c r="H18" i="5"/>
  <c r="E18" i="5"/>
  <c r="L17" i="5"/>
  <c r="K17" i="5"/>
  <c r="H17" i="5"/>
  <c r="E17" i="5"/>
  <c r="L16" i="5"/>
  <c r="K16" i="5"/>
  <c r="I16" i="5"/>
  <c r="H16" i="5"/>
  <c r="D16" i="5"/>
  <c r="C16" i="5"/>
  <c r="E16" i="5" s="1"/>
  <c r="L15" i="5"/>
  <c r="K15" i="5"/>
  <c r="H15" i="5"/>
  <c r="C15" i="5"/>
  <c r="E15" i="5" s="1"/>
  <c r="L14" i="5"/>
  <c r="K14" i="5"/>
  <c r="I14" i="5"/>
  <c r="H14" i="5"/>
  <c r="C14" i="5"/>
  <c r="E14" i="5" s="1"/>
  <c r="L13" i="5"/>
  <c r="K13" i="5"/>
  <c r="I13" i="5"/>
  <c r="H13" i="5"/>
  <c r="C13" i="5"/>
  <c r="C11" i="5" s="1"/>
  <c r="L12" i="5"/>
  <c r="K12" i="5"/>
  <c r="I12" i="5"/>
  <c r="H12" i="5"/>
  <c r="E12" i="5"/>
  <c r="M11" i="5"/>
  <c r="L11" i="5"/>
  <c r="K11" i="5"/>
  <c r="J11" i="5"/>
  <c r="I11" i="5"/>
  <c r="H11" i="5"/>
  <c r="G11" i="5"/>
  <c r="F11" i="5"/>
  <c r="D11" i="5"/>
  <c r="L10" i="5"/>
  <c r="L8" i="5" s="1"/>
  <c r="I10" i="5"/>
  <c r="K10" i="5" s="1"/>
  <c r="H10" i="5"/>
  <c r="E10" i="5"/>
  <c r="L9" i="5"/>
  <c r="I9" i="5"/>
  <c r="K9" i="5" s="1"/>
  <c r="K8" i="5" s="1"/>
  <c r="H9" i="5"/>
  <c r="E9" i="5"/>
  <c r="E8" i="5" s="1"/>
  <c r="M8" i="5"/>
  <c r="J8" i="5"/>
  <c r="I8" i="5"/>
  <c r="H8" i="5"/>
  <c r="G8" i="5"/>
  <c r="F8" i="5"/>
  <c r="D8" i="5"/>
  <c r="C8" i="5"/>
  <c r="L7" i="5"/>
  <c r="L5" i="5" s="1"/>
  <c r="I7" i="5"/>
  <c r="K7" i="5" s="1"/>
  <c r="K5" i="5" s="1"/>
  <c r="H7" i="5"/>
  <c r="E7" i="5"/>
  <c r="L6" i="5"/>
  <c r="K6" i="5"/>
  <c r="I6" i="5"/>
  <c r="H6" i="5"/>
  <c r="E6" i="5"/>
  <c r="M5" i="5"/>
  <c r="J5" i="5"/>
  <c r="I5" i="5"/>
  <c r="H5" i="5"/>
  <c r="G5" i="5"/>
  <c r="F5" i="5"/>
  <c r="E5" i="5"/>
  <c r="D5" i="5"/>
  <c r="C5" i="5"/>
  <c r="E13" i="5" l="1"/>
  <c r="E11" i="5" s="1"/>
  <c r="C20" i="5"/>
  <c r="L20" i="5"/>
  <c r="M20" i="5"/>
  <c r="J20" i="5"/>
  <c r="H20" i="5"/>
  <c r="G20" i="5"/>
  <c r="F20" i="5"/>
  <c r="D20" i="5"/>
  <c r="E20" i="5" l="1"/>
  <c r="I20" i="5"/>
  <c r="AA8" i="5"/>
  <c r="AC8" i="5" s="1"/>
  <c r="AA9" i="5"/>
  <c r="AA10" i="5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2" i="5"/>
  <c r="Z13" i="5"/>
  <c r="Z14" i="5"/>
  <c r="Z15" i="5"/>
  <c r="Z16" i="5"/>
  <c r="Z17" i="5"/>
  <c r="Z18" i="5"/>
  <c r="Z19" i="5"/>
  <c r="K20" i="5" l="1"/>
  <c r="AA11" i="5"/>
  <c r="AC11" i="5" s="1"/>
  <c r="Z11" i="5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<sst xmlns="http://schemas.openxmlformats.org/spreadsheetml/2006/main" count="47" uniqueCount="31">
  <si>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</si>
  <si>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</si>
  <si>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</si>
  <si>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</si>
  <si>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</si>
  <si>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</si>
  <si>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</si>
  <si>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</si>
  <si>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</si>
  <si>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</si>
  <si>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</si>
  <si>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</si>
  <si>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</si>
  <si>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</si>
  <si>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</si>
  <si>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</si>
  <si>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</si>
  <si>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</si>
  <si>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</si>
  <si>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</si>
  <si>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</si>
  <si>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</si>
  <si>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</si>
  <si>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</si>
  <si>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31.01.2024</t>
  </si>
  <si>
    <t>Funds received from the EC based on submitted applications for payment up to  31.01.2024</t>
  </si>
  <si>
    <t>Total funds received from the EC up to  31.01.2024</t>
  </si>
  <si>
    <t>Paid up to  31.01.2024</t>
  </si>
  <si>
    <t>Total paid up to 31.01.2024</t>
  </si>
  <si>
    <t>Total public expenditure declared to the EC with Payment claims
 as per  31.01.2024</t>
  </si>
  <si>
    <t>Total public expenditure certified to the EC with Annual Accounts 
as per 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</si>
</sst>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8" fillId="0" borderId="1" xfId="0" applyNumberFormat="1" applyFont="1" applyFill="1" applyBorder="1" applyAlignment="1">
      <alignment horizontal="center" vertical="center"/>
    </xf>
    <xf numFmtId="170" fontId="8" fillId="0" borderId="1" xfId="1" applyNumberFormat="1" applyFont="1" applyFill="1" applyBorder="1" applyAlignment="1">
      <alignment horizontal="right" vertical="center"/>
    </xf>
    <xf numFmtId="170" fontId="3" fillId="0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72" fontId="1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72" fontId="9" fillId="0" borderId="1" xfId="1" applyNumberFormat="1" applyFont="1" applyFill="1" applyBorder="1" applyAlignment="1">
      <alignment horizontal="right" vertical="center"/>
    </xf>
    <xf numFmtId="168" fontId="5" fillId="0" borderId="1" xfId="0" applyNumberFormat="1" applyFont="1" applyFill="1" applyBorder="1" applyAlignment="1">
      <alignment vertical="center"/>
    </xf>
    <xf numFmtId="172" fontId="12" fillId="0" borderId="1" xfId="1" applyNumberFormat="1" applyFont="1" applyFill="1" applyBorder="1" applyAlignment="1">
      <alignment horizontal="right" vertical="center"/>
    </xf>
    <xf numFmtId="168" fontId="3" fillId="0" borderId="3" xfId="0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" sqref="F2:F3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0" customWidth="1"/>
    <col min="7" max="7" width="19.42578125" style="60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0" customWidth="1"/>
    <col min="27" max="27" width="28.42578125" style="50" customWidth="1"/>
    <col min="28" max="28" width="13.5703125" style="50" customWidth="1"/>
    <col min="29" max="29" width="24.28515625" style="50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2"/>
      <c r="G1" s="22"/>
      <c r="H1" s="22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44"/>
      <c r="AA1" s="44"/>
      <c r="AB1" s="44"/>
      <c r="AC1" s="44"/>
    </row>
    <row r="2" spans="1:29" s="10" customFormat="1" ht="12.75" customHeight="1" x14ac:dyDescent="0.25">
      <c r="A2" s="88" t="s">
        <v>0</v>
      </c>
      <c r="B2" s="89" t="s">
        <v>1</v>
      </c>
      <c r="C2" s="91" t="s">
        <v>2</v>
      </c>
      <c r="D2" s="91" t="s">
        <v>3</v>
      </c>
      <c r="E2" s="91" t="s">
        <v>4</v>
      </c>
      <c r="F2" s="84" t="s">
        <v>24</v>
      </c>
      <c r="G2" s="84" t="s">
        <v>25</v>
      </c>
      <c r="H2" s="84" t="s">
        <v>26</v>
      </c>
      <c r="I2" s="93" t="s">
        <v>27</v>
      </c>
      <c r="J2" s="94"/>
      <c r="K2" s="84" t="s">
        <v>28</v>
      </c>
      <c r="L2" s="82" t="s">
        <v>29</v>
      </c>
      <c r="M2" s="82" t="s">
        <v>30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45"/>
      <c r="AA2" s="45"/>
      <c r="AB2" s="45"/>
      <c r="AC2" s="45"/>
    </row>
    <row r="3" spans="1:29" s="10" customFormat="1" ht="75" customHeight="1" x14ac:dyDescent="0.25">
      <c r="A3" s="88"/>
      <c r="B3" s="90"/>
      <c r="C3" s="92"/>
      <c r="D3" s="92"/>
      <c r="E3" s="92"/>
      <c r="F3" s="95"/>
      <c r="G3" s="95"/>
      <c r="H3" s="95"/>
      <c r="I3" s="34" t="s">
        <v>5</v>
      </c>
      <c r="J3" s="35" t="s">
        <v>6</v>
      </c>
      <c r="K3" s="85"/>
      <c r="L3" s="83"/>
      <c r="M3" s="83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45"/>
      <c r="AA3" s="45"/>
      <c r="AB3" s="45"/>
      <c r="AC3" s="45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64">
        <v>11</v>
      </c>
      <c r="L4" s="64">
        <v>12</v>
      </c>
      <c r="M4" s="20">
        <v>13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45"/>
      <c r="AA4" s="45"/>
      <c r="AB4" s="45"/>
      <c r="AC4" s="45"/>
    </row>
    <row r="5" spans="1:29" s="12" customFormat="1" ht="29.25" customHeight="1" x14ac:dyDescent="0.2">
      <c r="A5" s="29" t="s">
        <v>7</v>
      </c>
      <c r="B5" s="26" t="s">
        <v>8</v>
      </c>
      <c r="C5" s="67">
        <f>C6+C7</f>
        <v>1520755090</v>
      </c>
      <c r="D5" s="67">
        <f>D6+D7</f>
        <v>242780313</v>
      </c>
      <c r="E5" s="67">
        <f>E6+E7</f>
        <v>1763535403</v>
      </c>
      <c r="F5" s="67">
        <f t="shared" ref="F5:M5" si="0">F6+F7</f>
        <v>185179115.40000001</v>
      </c>
      <c r="G5" s="67">
        <f t="shared" si="0"/>
        <v>1054997081.1299999</v>
      </c>
      <c r="H5" s="67">
        <f t="shared" si="0"/>
        <v>1240176196.53</v>
      </c>
      <c r="I5" s="68">
        <f>+I6+I7</f>
        <v>1364934168.239064</v>
      </c>
      <c r="J5" s="68">
        <f>+J6+J7</f>
        <v>215723626.17979938</v>
      </c>
      <c r="K5" s="67">
        <f>K6+K7</f>
        <v>1580657794.4188633</v>
      </c>
      <c r="L5" s="68">
        <f>L6+L7</f>
        <v>1353562235.7214241</v>
      </c>
      <c r="M5" s="67">
        <f t="shared" si="0"/>
        <v>993012301.25999999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6"/>
      <c r="AA5" s="46">
        <f>+AA6+AA7</f>
        <v>3091497934.0582457</v>
      </c>
      <c r="AB5" s="47">
        <v>1461442349.48</v>
      </c>
      <c r="AC5" s="48">
        <f>+AA5-AB5</f>
        <v>1630055584.5782456</v>
      </c>
    </row>
    <row r="6" spans="1:29" ht="29.25" customHeight="1" outlineLevel="1" x14ac:dyDescent="0.25">
      <c r="A6" s="30" t="s">
        <v>9</v>
      </c>
      <c r="B6" s="31" t="s">
        <v>8</v>
      </c>
      <c r="C6" s="69">
        <v>438611756</v>
      </c>
      <c r="D6" s="69">
        <v>76607959</v>
      </c>
      <c r="E6" s="65">
        <f>+C6+D6</f>
        <v>515219715</v>
      </c>
      <c r="F6" s="70">
        <v>65162124.003750004</v>
      </c>
      <c r="G6" s="65">
        <v>371800814.94999993</v>
      </c>
      <c r="H6" s="65">
        <f>F6+G6</f>
        <v>436962938.95374995</v>
      </c>
      <c r="I6" s="70">
        <f>419313628.111017+4500000</f>
        <v>423813628.11101699</v>
      </c>
      <c r="J6" s="71">
        <v>73996522.607826591</v>
      </c>
      <c r="K6" s="65">
        <f>+I6+J6</f>
        <v>497810150.71884358</v>
      </c>
      <c r="L6" s="65">
        <f>493946201.352142</f>
        <v>493946201.35214198</v>
      </c>
      <c r="M6" s="65">
        <v>471380477.5</v>
      </c>
      <c r="N6" s="40"/>
      <c r="O6" s="39"/>
      <c r="P6" s="40"/>
      <c r="Q6" s="40"/>
      <c r="R6" s="40"/>
      <c r="S6" s="40"/>
      <c r="T6" s="40"/>
      <c r="U6" s="40"/>
      <c r="V6" s="40"/>
      <c r="W6" s="40"/>
      <c r="X6" s="40"/>
      <c r="Y6" s="40"/>
      <c r="Z6" s="46">
        <f>+K6*1.9558</f>
        <v>973617092.77591431</v>
      </c>
      <c r="AA6" s="49">
        <f>+K6*1.95583</f>
        <v>973632027.08043587</v>
      </c>
    </row>
    <row r="7" spans="1:29" ht="29.25" customHeight="1" outlineLevel="1" x14ac:dyDescent="0.25">
      <c r="A7" s="30" t="s">
        <v>10</v>
      </c>
      <c r="B7" s="31" t="s">
        <v>8</v>
      </c>
      <c r="C7" s="69">
        <v>1082143334</v>
      </c>
      <c r="D7" s="69">
        <v>166172354</v>
      </c>
      <c r="E7" s="65">
        <f>+C7+D7</f>
        <v>1248315688</v>
      </c>
      <c r="F7" s="70">
        <v>120016991.39624999</v>
      </c>
      <c r="G7" s="65">
        <v>683196266.17999995</v>
      </c>
      <c r="H7" s="65">
        <f>F7+G7</f>
        <v>803213257.57624996</v>
      </c>
      <c r="I7" s="70">
        <f>803120253.574512+138000286.553535</f>
        <v>941120540.12804699</v>
      </c>
      <c r="J7" s="71">
        <v>141727103.57197279</v>
      </c>
      <c r="K7" s="65">
        <f>+I7+J7</f>
        <v>1082847643.7000198</v>
      </c>
      <c r="L7" s="65">
        <f>859616034.369282</f>
        <v>859616034.36928201</v>
      </c>
      <c r="M7" s="65">
        <v>521631823.75999999</v>
      </c>
      <c r="N7" s="40"/>
      <c r="O7" s="39"/>
      <c r="P7" s="40"/>
      <c r="Q7" s="40"/>
      <c r="R7" s="40"/>
      <c r="S7" s="40"/>
      <c r="T7" s="40"/>
      <c r="U7" s="40"/>
      <c r="V7" s="40"/>
      <c r="W7" s="40"/>
      <c r="X7" s="40"/>
      <c r="Y7" s="40"/>
      <c r="Z7" s="46">
        <f t="shared" ref="Z7:Z19" si="1">+K7*1.9558</f>
        <v>2117833421.5484989</v>
      </c>
      <c r="AA7" s="49">
        <f t="shared" ref="AA7:AA19" si="2">+K7*1.95583</f>
        <v>2117865906.9778097</v>
      </c>
    </row>
    <row r="8" spans="1:29" s="12" customFormat="1" ht="29.25" customHeight="1" x14ac:dyDescent="0.2">
      <c r="A8" s="29" t="s">
        <v>11</v>
      </c>
      <c r="B8" s="26" t="s">
        <v>8</v>
      </c>
      <c r="C8" s="67">
        <f>C9+C10</f>
        <v>1439963913</v>
      </c>
      <c r="D8" s="67">
        <f t="shared" ref="D8:K8" si="3">D9+D10</f>
        <v>228540695</v>
      </c>
      <c r="E8" s="67">
        <f>E9+E10</f>
        <v>1668504608</v>
      </c>
      <c r="F8" s="67">
        <f t="shared" si="3"/>
        <v>158146291.68124998</v>
      </c>
      <c r="G8" s="67">
        <f t="shared" si="3"/>
        <v>1056076236.3100001</v>
      </c>
      <c r="H8" s="67">
        <f>H9+H10</f>
        <v>1214222527.99125</v>
      </c>
      <c r="I8" s="68">
        <f>+I9+I10</f>
        <v>1291842632.2468214</v>
      </c>
      <c r="J8" s="68">
        <f>+J9+J10</f>
        <v>202378331.19177935</v>
      </c>
      <c r="K8" s="67">
        <f t="shared" si="3"/>
        <v>1494220963.4386008</v>
      </c>
      <c r="L8" s="68">
        <f>L9+L10</f>
        <v>1342527165.482769</v>
      </c>
      <c r="M8" s="67">
        <f>M9+M10</f>
        <v>785579840.74000001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6">
        <f t="shared" si="1"/>
        <v>2922397360.2932153</v>
      </c>
      <c r="AA8" s="46">
        <f t="shared" si="2"/>
        <v>2922442186.9221187</v>
      </c>
      <c r="AB8" s="47">
        <v>942880842.37</v>
      </c>
      <c r="AC8" s="48">
        <f>+AA8-AB8</f>
        <v>1979561344.5521188</v>
      </c>
    </row>
    <row r="9" spans="1:29" ht="29.25" customHeight="1" outlineLevel="1" x14ac:dyDescent="0.25">
      <c r="A9" s="30" t="s">
        <v>9</v>
      </c>
      <c r="B9" s="31" t="s">
        <v>8</v>
      </c>
      <c r="C9" s="69">
        <v>335717166</v>
      </c>
      <c r="D9" s="69">
        <v>52361856</v>
      </c>
      <c r="E9" s="65">
        <f>+C9+D9</f>
        <v>388079022</v>
      </c>
      <c r="F9" s="70">
        <v>36031153.328749999</v>
      </c>
      <c r="G9" s="65">
        <v>263084058.35999998</v>
      </c>
      <c r="H9" s="65">
        <f>F9+G9</f>
        <v>299115211.68874997</v>
      </c>
      <c r="I9" s="70">
        <f>263783438.848038+38997936.9219206</f>
        <v>302781375.76995862</v>
      </c>
      <c r="J9" s="71">
        <v>46550018.620242052</v>
      </c>
      <c r="K9" s="65">
        <f>I9+J9</f>
        <v>349331394.39020067</v>
      </c>
      <c r="L9" s="65">
        <f>319474980.900099</f>
        <v>319474980.90009898</v>
      </c>
      <c r="M9" s="65">
        <v>158566903.72</v>
      </c>
      <c r="N9" s="41"/>
      <c r="O9" s="39"/>
      <c r="P9" s="41"/>
      <c r="Q9" s="41"/>
      <c r="R9" s="41"/>
      <c r="S9" s="41"/>
      <c r="T9" s="41"/>
      <c r="U9" s="41"/>
      <c r="V9" s="41"/>
      <c r="W9" s="41"/>
      <c r="X9" s="41"/>
      <c r="Y9" s="41"/>
      <c r="Z9" s="46">
        <f t="shared" si="1"/>
        <v>683222341.14835453</v>
      </c>
      <c r="AA9" s="49">
        <f t="shared" si="2"/>
        <v>683232821.09018612</v>
      </c>
      <c r="AB9" s="49"/>
    </row>
    <row r="10" spans="1:29" ht="29.25" customHeight="1" outlineLevel="1" x14ac:dyDescent="0.25">
      <c r="A10" s="30" t="s">
        <v>10</v>
      </c>
      <c r="B10" s="31" t="s">
        <v>8</v>
      </c>
      <c r="C10" s="69">
        <v>1104246747</v>
      </c>
      <c r="D10" s="69">
        <v>176178839</v>
      </c>
      <c r="E10" s="65">
        <f>+C10+D10</f>
        <v>1280425586</v>
      </c>
      <c r="F10" s="70">
        <v>122115138.35249999</v>
      </c>
      <c r="G10" s="72">
        <v>792992177.95000005</v>
      </c>
      <c r="H10" s="65">
        <f>F10+G10</f>
        <v>915107316.30250001</v>
      </c>
      <c r="I10" s="70">
        <f>883027104.572045+106034151.904818</f>
        <v>989061256.47686291</v>
      </c>
      <c r="J10" s="71">
        <v>155828312.57153729</v>
      </c>
      <c r="K10" s="65">
        <f>I10+J10</f>
        <v>1144889569.0484002</v>
      </c>
      <c r="L10" s="65">
        <f>1023052184.58267</f>
        <v>1023052184.58267</v>
      </c>
      <c r="M10" s="65">
        <v>627012937.01999998</v>
      </c>
      <c r="N10" s="41"/>
      <c r="O10" s="39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6">
        <f t="shared" si="1"/>
        <v>2239175019.1448612</v>
      </c>
      <c r="AA10" s="49">
        <f t="shared" si="2"/>
        <v>2239209365.8319325</v>
      </c>
      <c r="AB10" s="49"/>
    </row>
    <row r="11" spans="1:29" s="12" customFormat="1" ht="29.25" customHeight="1" x14ac:dyDescent="0.25">
      <c r="A11" s="29" t="s">
        <v>12</v>
      </c>
      <c r="B11" s="26" t="s">
        <v>8</v>
      </c>
      <c r="C11" s="67">
        <f>C12+C13</f>
        <v>595110177</v>
      </c>
      <c r="D11" s="67">
        <f t="shared" ref="D11:M11" si="4">D12+D13</f>
        <v>91613162</v>
      </c>
      <c r="E11" s="67">
        <f t="shared" si="4"/>
        <v>686723339</v>
      </c>
      <c r="F11" s="67">
        <f t="shared" si="4"/>
        <v>87752945.907499999</v>
      </c>
      <c r="G11" s="67">
        <f t="shared" si="4"/>
        <v>454786952.38</v>
      </c>
      <c r="H11" s="67">
        <f t="shared" si="4"/>
        <v>542539898.28750002</v>
      </c>
      <c r="I11" s="68">
        <f>+I12+I13</f>
        <v>567678294.72387195</v>
      </c>
      <c r="J11" s="68">
        <f>+J12+J13</f>
        <v>86942968.713429272</v>
      </c>
      <c r="K11" s="67">
        <f t="shared" si="4"/>
        <v>654621263.43730116</v>
      </c>
      <c r="L11" s="68">
        <f>L12+L13</f>
        <v>590066870.45924497</v>
      </c>
      <c r="M11" s="67">
        <f t="shared" si="4"/>
        <v>408661739.31999999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6">
        <f t="shared" si="1"/>
        <v>1280308267.0306735</v>
      </c>
      <c r="AA11" s="46">
        <f t="shared" si="2"/>
        <v>1280327905.6685767</v>
      </c>
      <c r="AB11" s="49">
        <v>508734585.13999999</v>
      </c>
      <c r="AC11" s="48">
        <f>+AA11-AB11</f>
        <v>771593320.52857673</v>
      </c>
    </row>
    <row r="12" spans="1:29" s="14" customFormat="1" ht="29.25" customHeight="1" x14ac:dyDescent="0.25">
      <c r="A12" s="30" t="s">
        <v>13</v>
      </c>
      <c r="B12" s="31" t="s">
        <v>8</v>
      </c>
      <c r="C12" s="69">
        <v>186989211</v>
      </c>
      <c r="D12" s="69">
        <v>29653891</v>
      </c>
      <c r="E12" s="65">
        <f>+C12+D12</f>
        <v>216643102</v>
      </c>
      <c r="F12" s="65">
        <v>22900579.047499999</v>
      </c>
      <c r="G12" s="72">
        <v>133711696.44</v>
      </c>
      <c r="H12" s="65">
        <f t="shared" ref="H12:H19" si="5">F12+G12</f>
        <v>156612275.48750001</v>
      </c>
      <c r="I12" s="73">
        <f>149964556.599228+17784850.1863659</f>
        <v>167749406.7855939</v>
      </c>
      <c r="J12" s="74">
        <v>26464333.517510865</v>
      </c>
      <c r="K12" s="65">
        <f t="shared" ref="K12:K18" si="6">I12+J12</f>
        <v>194213740.30310476</v>
      </c>
      <c r="L12" s="66">
        <f>170272278.125437</f>
        <v>170272278.12543699</v>
      </c>
      <c r="M12" s="66">
        <v>93493944.829999998</v>
      </c>
      <c r="N12" s="42"/>
      <c r="O12" s="39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6">
        <f t="shared" si="1"/>
        <v>379843233.28481227</v>
      </c>
      <c r="AA12" s="49">
        <f t="shared" si="2"/>
        <v>379849059.69702137</v>
      </c>
      <c r="AB12" s="49"/>
      <c r="AC12" s="51"/>
    </row>
    <row r="13" spans="1:29" s="12" customFormat="1" ht="29.25" customHeight="1" x14ac:dyDescent="0.25">
      <c r="A13" s="30" t="s">
        <v>14</v>
      </c>
      <c r="B13" s="31" t="s">
        <v>8</v>
      </c>
      <c r="C13" s="69">
        <f>352102522+56018444</f>
        <v>408120966</v>
      </c>
      <c r="D13" s="69">
        <v>61959271</v>
      </c>
      <c r="E13" s="65">
        <f t="shared" ref="E13:E19" si="7">+C13+D13</f>
        <v>470080237</v>
      </c>
      <c r="F13" s="65">
        <v>64852366.860000007</v>
      </c>
      <c r="G13" s="75">
        <v>321075255.94</v>
      </c>
      <c r="H13" s="65">
        <f t="shared" si="5"/>
        <v>385927622.80000001</v>
      </c>
      <c r="I13" s="73">
        <f>342712266.110205+57216621.828073</f>
        <v>399928887.93827802</v>
      </c>
      <c r="J13" s="76">
        <v>60478635.195918404</v>
      </c>
      <c r="K13" s="65">
        <f>I13+J13</f>
        <v>460407523.1341964</v>
      </c>
      <c r="L13" s="65">
        <f>419794592.333808</f>
        <v>419794592.333808</v>
      </c>
      <c r="M13" s="65">
        <v>315167794.49000001</v>
      </c>
      <c r="N13" s="41"/>
      <c r="O13" s="39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6">
        <f t="shared" si="1"/>
        <v>900465033.74586129</v>
      </c>
      <c r="AA13" s="49">
        <f t="shared" si="2"/>
        <v>900478845.97155535</v>
      </c>
      <c r="AB13" s="49"/>
      <c r="AC13" s="52"/>
    </row>
    <row r="14" spans="1:29" s="14" customFormat="1" ht="29.25" customHeight="1" x14ac:dyDescent="0.25">
      <c r="A14" s="29" t="s">
        <v>15</v>
      </c>
      <c r="B14" s="26" t="s">
        <v>8</v>
      </c>
      <c r="C14" s="68">
        <f>1311704793+66095345</f>
        <v>1377800138</v>
      </c>
      <c r="D14" s="68">
        <v>221858660</v>
      </c>
      <c r="E14" s="67">
        <f t="shared" si="7"/>
        <v>1599658798</v>
      </c>
      <c r="F14" s="77">
        <v>182673768.41625002</v>
      </c>
      <c r="G14" s="68">
        <v>924976019.84000051</v>
      </c>
      <c r="H14" s="68">
        <f t="shared" si="5"/>
        <v>1107649788.2562506</v>
      </c>
      <c r="I14" s="67">
        <f>1167155355.34913+97316426.852027</f>
        <v>1264471782.2011569</v>
      </c>
      <c r="J14" s="78">
        <v>205968592.12043443</v>
      </c>
      <c r="K14" s="68">
        <f t="shared" si="6"/>
        <v>1470440374.3215914</v>
      </c>
      <c r="L14" s="68">
        <f>1188281485.87372</f>
        <v>1188281485.8737199</v>
      </c>
      <c r="M14" s="68">
        <v>924831926.42999995</v>
      </c>
      <c r="N14" s="43"/>
      <c r="O14" s="39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6">
        <f t="shared" si="1"/>
        <v>2875887284.0981684</v>
      </c>
      <c r="AA14" s="46">
        <f t="shared" si="2"/>
        <v>2875931397.3093982</v>
      </c>
      <c r="AB14" s="49">
        <v>1591964903.49</v>
      </c>
      <c r="AC14" s="48">
        <f>+AA14-AB14</f>
        <v>1283966493.8193982</v>
      </c>
    </row>
    <row r="15" spans="1:29" s="14" customFormat="1" ht="29.25" customHeight="1" x14ac:dyDescent="0.25">
      <c r="A15" s="32" t="s">
        <v>16</v>
      </c>
      <c r="B15" s="26" t="s">
        <v>8</v>
      </c>
      <c r="C15" s="68">
        <f>996896918+173640925+36375789</f>
        <v>1206913632</v>
      </c>
      <c r="D15" s="68">
        <v>165102510</v>
      </c>
      <c r="E15" s="68">
        <f>+C15+D15</f>
        <v>1372016142</v>
      </c>
      <c r="F15" s="68">
        <v>222903094.41999999</v>
      </c>
      <c r="G15" s="68">
        <v>979763358.27999997</v>
      </c>
      <c r="H15" s="68">
        <f t="shared" si="5"/>
        <v>1202666452.7</v>
      </c>
      <c r="I15" s="79">
        <v>1159674809.3679829</v>
      </c>
      <c r="J15" s="79">
        <v>161057884.23493636</v>
      </c>
      <c r="K15" s="68">
        <f t="shared" si="6"/>
        <v>1320732693.6029191</v>
      </c>
      <c r="L15" s="68">
        <f>1282592696.30127</f>
        <v>1282592696.30127</v>
      </c>
      <c r="M15" s="68">
        <v>1069359136.97</v>
      </c>
      <c r="N15" s="43"/>
      <c r="O15" s="39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6">
        <f t="shared" si="1"/>
        <v>2583089002.1485891</v>
      </c>
      <c r="AA15" s="46">
        <f t="shared" si="2"/>
        <v>2583128624.1293974</v>
      </c>
      <c r="AB15" s="49">
        <v>1226822694.46</v>
      </c>
      <c r="AC15" s="48">
        <f>+AA15-AB15</f>
        <v>1356305929.6693974</v>
      </c>
    </row>
    <row r="16" spans="1:29" s="14" customFormat="1" ht="43.5" customHeight="1" x14ac:dyDescent="0.25">
      <c r="A16" s="29" t="s">
        <v>22</v>
      </c>
      <c r="B16" s="31" t="s">
        <v>8</v>
      </c>
      <c r="C16" s="68">
        <f>1428375935+15000000</f>
        <v>1443375935</v>
      </c>
      <c r="D16" s="68">
        <f>212049066</f>
        <v>212049066</v>
      </c>
      <c r="E16" s="68">
        <f t="shared" si="7"/>
        <v>1655425001</v>
      </c>
      <c r="F16" s="68">
        <v>222667669.54624999</v>
      </c>
      <c r="G16" s="68">
        <v>1220708265.4499998</v>
      </c>
      <c r="H16" s="68">
        <f>F16+G16</f>
        <v>1443375934.9962497</v>
      </c>
      <c r="I16" s="67">
        <f>1188466836.69568+205216610.431377+30246915.1204348</f>
        <v>1423930362.2474916</v>
      </c>
      <c r="J16" s="78">
        <v>209729441.76982623</v>
      </c>
      <c r="K16" s="68">
        <f>I16+J16</f>
        <v>1633659804.0173178</v>
      </c>
      <c r="L16" s="68">
        <f>1580432028.06201</f>
        <v>1580432028.06201</v>
      </c>
      <c r="M16" s="68">
        <v>1277276995.76</v>
      </c>
      <c r="N16" s="43"/>
      <c r="O16" s="39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6">
        <f t="shared" si="1"/>
        <v>3195111844.6970701</v>
      </c>
      <c r="AA16" s="46">
        <f t="shared" si="2"/>
        <v>3195160854.4911904</v>
      </c>
      <c r="AB16" s="49">
        <v>1216935553</v>
      </c>
      <c r="AC16" s="48">
        <f>+AA16-AB16</f>
        <v>1978225301.4911904</v>
      </c>
    </row>
    <row r="17" spans="1:29" s="14" customFormat="1" ht="29.25" customHeight="1" x14ac:dyDescent="0.25">
      <c r="A17" s="33" t="s">
        <v>17</v>
      </c>
      <c r="B17" s="31" t="s">
        <v>8</v>
      </c>
      <c r="C17" s="68">
        <v>102000000</v>
      </c>
      <c r="D17" s="68">
        <v>0</v>
      </c>
      <c r="E17" s="68">
        <f t="shared" si="7"/>
        <v>102000000</v>
      </c>
      <c r="F17" s="68">
        <v>6502500</v>
      </c>
      <c r="G17" s="68">
        <v>95497500</v>
      </c>
      <c r="H17" s="68">
        <f t="shared" si="5"/>
        <v>102000000</v>
      </c>
      <c r="I17" s="67">
        <v>102000000</v>
      </c>
      <c r="J17" s="78">
        <v>0</v>
      </c>
      <c r="K17" s="68">
        <f t="shared" si="6"/>
        <v>102000000</v>
      </c>
      <c r="L17" s="68">
        <f>102001564.57</f>
        <v>102001564.56999999</v>
      </c>
      <c r="M17" s="68">
        <v>102001564.57460579</v>
      </c>
      <c r="N17" s="43"/>
      <c r="O17" s="39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6">
        <f t="shared" si="1"/>
        <v>199491600</v>
      </c>
      <c r="AA17" s="46">
        <f t="shared" si="2"/>
        <v>199494660</v>
      </c>
      <c r="AB17" s="49"/>
      <c r="AC17" s="51"/>
    </row>
    <row r="18" spans="1:29" s="14" customFormat="1" ht="29.25" customHeight="1" x14ac:dyDescent="0.25">
      <c r="A18" s="29" t="s">
        <v>18</v>
      </c>
      <c r="B18" s="26" t="s">
        <v>8</v>
      </c>
      <c r="C18" s="68">
        <v>238398862</v>
      </c>
      <c r="D18" s="68">
        <v>41458720</v>
      </c>
      <c r="E18" s="68">
        <f t="shared" si="7"/>
        <v>279857582</v>
      </c>
      <c r="F18" s="68">
        <v>31092785.035</v>
      </c>
      <c r="G18" s="68">
        <v>188478150.76000002</v>
      </c>
      <c r="H18" s="68">
        <f t="shared" si="5"/>
        <v>219570935.79500002</v>
      </c>
      <c r="I18" s="67">
        <f>220179153.546916+3465724.39322436</f>
        <v>223644877.94014037</v>
      </c>
      <c r="J18" s="78">
        <v>38855144.743573442</v>
      </c>
      <c r="K18" s="68">
        <f t="shared" si="6"/>
        <v>262500022.68371379</v>
      </c>
      <c r="L18" s="68">
        <f>244845348.482385</f>
        <v>244845348.48238501</v>
      </c>
      <c r="M18" s="68">
        <v>167880273.15000001</v>
      </c>
      <c r="N18" s="43"/>
      <c r="O18" s="39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6">
        <f t="shared" si="1"/>
        <v>513397544.36480743</v>
      </c>
      <c r="AA18" s="46">
        <f t="shared" si="2"/>
        <v>513405419.36548793</v>
      </c>
      <c r="AB18" s="49">
        <v>184210896</v>
      </c>
      <c r="AC18" s="48">
        <f>+AA18-AB18</f>
        <v>329194523.36548793</v>
      </c>
    </row>
    <row r="19" spans="1:29" s="14" customFormat="1" ht="29.25" customHeight="1" x14ac:dyDescent="0.25">
      <c r="A19" s="29" t="s">
        <v>19</v>
      </c>
      <c r="B19" s="26" t="s">
        <v>8</v>
      </c>
      <c r="C19" s="68">
        <f>104815264+19940383+18624211</f>
        <v>143379858</v>
      </c>
      <c r="D19" s="68">
        <v>18496812</v>
      </c>
      <c r="E19" s="68">
        <f t="shared" si="7"/>
        <v>161876670</v>
      </c>
      <c r="F19" s="68">
        <v>13723121.170000002</v>
      </c>
      <c r="G19" s="68">
        <v>129656736.82999995</v>
      </c>
      <c r="H19" s="68">
        <f t="shared" si="5"/>
        <v>143379857.99999994</v>
      </c>
      <c r="I19" s="67">
        <f>105333218.356066+37927034.7729608</f>
        <v>143260253.1290268</v>
      </c>
      <c r="J19" s="78">
        <v>18588215.004011724</v>
      </c>
      <c r="K19" s="68">
        <f>I19+J19</f>
        <v>161848468.13303852</v>
      </c>
      <c r="L19" s="68">
        <f>161845134.844071</f>
        <v>161845134.844071</v>
      </c>
      <c r="M19" s="68">
        <v>143075804.25999999</v>
      </c>
      <c r="N19" s="43"/>
      <c r="O19" s="39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6">
        <f t="shared" si="1"/>
        <v>316543233.97459674</v>
      </c>
      <c r="AA19" s="46">
        <f t="shared" si="2"/>
        <v>316548089.42864072</v>
      </c>
      <c r="AB19" s="49">
        <v>192103600.88</v>
      </c>
      <c r="AC19" s="53">
        <f>+AA19-AB19</f>
        <v>124444488.54864073</v>
      </c>
    </row>
    <row r="20" spans="1:29" s="12" customFormat="1" ht="29.25" customHeight="1" x14ac:dyDescent="0.25">
      <c r="A20" s="86" t="s">
        <v>20</v>
      </c>
      <c r="B20" s="87"/>
      <c r="C20" s="67">
        <f>+C5+C8+C11+C14+C15+C16+C17+C18+C19</f>
        <v>8067697605</v>
      </c>
      <c r="D20" s="67">
        <f>+D5+D8+D11+D14+D15+D16+D17+D18+D19</f>
        <v>1221899938</v>
      </c>
      <c r="E20" s="67">
        <f>+C20+D20</f>
        <v>9289597543</v>
      </c>
      <c r="F20" s="67">
        <f t="shared" ref="F20:M20" si="8">+F5+F8+F11+F14+F15+F16+F17+F18+F19</f>
        <v>1110641291.5762501</v>
      </c>
      <c r="G20" s="67">
        <f t="shared" si="8"/>
        <v>6104940300.9800005</v>
      </c>
      <c r="H20" s="67">
        <f t="shared" si="8"/>
        <v>7215581592.5562496</v>
      </c>
      <c r="I20" s="68">
        <f t="shared" si="8"/>
        <v>7541437180.0955563</v>
      </c>
      <c r="J20" s="68">
        <f t="shared" si="8"/>
        <v>1139244203.9577901</v>
      </c>
      <c r="K20" s="68">
        <f t="shared" si="8"/>
        <v>8680681384.0533447</v>
      </c>
      <c r="L20" s="67">
        <f>+L5+L8+L11+L14+L15+L16+L17+L18+L19</f>
        <v>7846154529.7968941</v>
      </c>
      <c r="M20" s="67">
        <f t="shared" si="8"/>
        <v>5871679582.4646063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54"/>
      <c r="AA20" s="55"/>
      <c r="AB20" s="50"/>
      <c r="AC20" s="47"/>
    </row>
    <row r="21" spans="1:29" s="12" customFormat="1" ht="29.25" customHeight="1" x14ac:dyDescent="0.2">
      <c r="A21" s="80" t="s">
        <v>23</v>
      </c>
      <c r="B21" s="81"/>
      <c r="C21" s="81"/>
      <c r="D21" s="81"/>
      <c r="E21" s="81"/>
      <c r="F21" s="81"/>
      <c r="G21" s="81"/>
      <c r="H21" s="21" t="s">
        <v>21</v>
      </c>
      <c r="I21" s="21"/>
      <c r="J21" s="21"/>
      <c r="K21" s="21"/>
      <c r="L21" s="21"/>
      <c r="M21" s="21"/>
      <c r="N21" s="27"/>
      <c r="O21" s="39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54"/>
      <c r="AA21" s="56"/>
      <c r="AB21" s="47"/>
      <c r="AC21" s="47"/>
    </row>
    <row r="22" spans="1:29" s="12" customFormat="1" ht="29.25" customHeight="1" x14ac:dyDescent="0.2">
      <c r="A22" s="61"/>
      <c r="B22" s="61"/>
      <c r="C22" s="62"/>
      <c r="D22" s="62"/>
      <c r="E22" s="62"/>
      <c r="F22" s="63"/>
      <c r="G22" s="63"/>
      <c r="H22" s="62"/>
      <c r="I22" s="62"/>
      <c r="J22" s="62"/>
      <c r="K22" s="62"/>
      <c r="L22" s="62"/>
      <c r="M22" s="62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54"/>
      <c r="AA22" s="57"/>
      <c r="AB22" s="47"/>
      <c r="AC22" s="47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47"/>
      <c r="AA23" s="56"/>
      <c r="AB23" s="47"/>
      <c r="AC23" s="47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47"/>
      <c r="AA24" s="56"/>
      <c r="AB24" s="47"/>
      <c r="AC24" s="47"/>
    </row>
    <row r="25" spans="1:29" s="12" customFormat="1" ht="29.25" customHeight="1" x14ac:dyDescent="0.2">
      <c r="A25" s="1"/>
      <c r="B25" s="1"/>
      <c r="C25" s="4"/>
      <c r="D25" s="4"/>
      <c r="E25" s="4"/>
      <c r="F25" s="59"/>
      <c r="G25" s="27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47"/>
      <c r="AA25" s="56"/>
      <c r="AB25" s="47"/>
      <c r="AC25" s="47"/>
    </row>
    <row r="26" spans="1:29" s="12" customFormat="1" ht="29.25" customHeight="1" x14ac:dyDescent="0.2">
      <c r="A26" s="1"/>
      <c r="B26" s="1"/>
      <c r="C26" s="4"/>
      <c r="D26" s="4"/>
      <c r="E26" s="4"/>
      <c r="F26" s="59"/>
      <c r="G26" s="59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47"/>
      <c r="AA26" s="56"/>
      <c r="AB26" s="47"/>
      <c r="AC26" s="47"/>
    </row>
    <row r="27" spans="1:29" s="12" customFormat="1" ht="29.25" customHeight="1" x14ac:dyDescent="0.2">
      <c r="A27" s="1"/>
      <c r="B27" s="1"/>
      <c r="C27" s="4"/>
      <c r="D27" s="4"/>
      <c r="E27" s="4"/>
      <c r="F27" s="59"/>
      <c r="G27" s="59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47"/>
      <c r="AA27" s="58"/>
      <c r="AB27" s="47"/>
      <c r="AC27" s="47"/>
    </row>
    <row r="28" spans="1:29" s="12" customFormat="1" ht="29.25" customHeight="1" x14ac:dyDescent="0.25">
      <c r="A28" s="1"/>
      <c r="B28" s="1"/>
      <c r="C28" s="5"/>
      <c r="D28" s="5"/>
      <c r="E28" s="5"/>
      <c r="F28" s="60"/>
      <c r="G28" s="60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47"/>
      <c r="AA28" s="47"/>
      <c r="AB28" s="47"/>
      <c r="AC28" s="47"/>
    </row>
    <row r="29" spans="1:29" s="12" customFormat="1" ht="29.25" customHeight="1" x14ac:dyDescent="0.25">
      <c r="A29" s="1"/>
      <c r="B29" s="1"/>
      <c r="C29" s="5"/>
      <c r="D29" s="5"/>
      <c r="E29" s="5"/>
      <c r="F29" s="60"/>
      <c r="G29" s="60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7"/>
      <c r="AA29" s="47"/>
      <c r="AB29" s="47"/>
      <c r="AC29" s="47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Александрина Цветанова</cp:lastModifiedBy>
  <cp:lastPrinted>2020-02-19T12:24:40Z</cp:lastPrinted>
  <dcterms:created xsi:type="dcterms:W3CDTF">2007-11-29T09:10:22Z</dcterms:created>
  <dcterms:modified xsi:type="dcterms:W3CDTF">2024-02-29T10:09:13Z</dcterms:modified>
</cp:coreProperties>
</file>