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3\12.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I18" i="5" l="1"/>
  <c r="I16" i="5"/>
  <c r="I14" i="5"/>
  <c r="I13" i="5"/>
  <c r="I12" i="5"/>
  <c r="I10" i="5"/>
  <c r="I9" i="5"/>
  <c r="I7" i="5"/>
  <c r="I6" i="5"/>
  <c r="L14" i="5" l="1"/>
  <c r="L18" i="5" l="1"/>
  <c r="L16" i="5"/>
  <c r="L15" i="5"/>
  <c r="L13" i="5"/>
  <c r="L12" i="5"/>
  <c r="L10" i="5"/>
  <c r="L9" i="5"/>
  <c r="L7" i="5"/>
  <c r="L6" i="5"/>
  <c r="K16" i="5" l="1"/>
  <c r="L19" i="5" l="1"/>
  <c r="D16" i="5" l="1"/>
  <c r="I19" i="5" l="1"/>
  <c r="E10" i="5" l="1"/>
  <c r="E9" i="5"/>
  <c r="H18" i="5" l="1"/>
  <c r="W835" i="5" l="1"/>
  <c r="L17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6" i="5" l="1"/>
  <c r="H7" i="5"/>
  <c r="H9" i="5"/>
  <c r="H10" i="5"/>
  <c r="H8" i="5" l="1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E18" i="5"/>
  <c r="H17" i="5"/>
  <c r="E17" i="5"/>
  <c r="E16" i="5"/>
  <c r="H14" i="5"/>
  <c r="H13" i="5"/>
  <c r="E13" i="5"/>
  <c r="H12" i="5"/>
  <c r="F11" i="5"/>
  <c r="D11" i="5"/>
  <c r="C11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F20" i="5"/>
  <c r="H11" i="5"/>
  <c r="E11" i="5"/>
  <c r="H5" i="5"/>
  <c r="G11" i="5"/>
  <c r="G20" i="5" s="1"/>
  <c r="E20" i="5" l="1"/>
  <c r="H20" i="5"/>
  <c r="K12" i="5" l="1"/>
  <c r="J5" i="5" l="1"/>
  <c r="I5" i="5"/>
  <c r="K5" i="5" l="1"/>
  <c r="I11" i="5" l="1"/>
  <c r="K13" i="5"/>
  <c r="J11" i="5"/>
  <c r="K11" i="5" l="1"/>
  <c r="K14" i="5"/>
  <c r="I8" i="5" l="1"/>
  <c r="I20" i="5" s="1"/>
  <c r="K10" i="5"/>
  <c r="J8" i="5"/>
  <c r="J20" i="5" s="1"/>
  <c r="K9" i="5"/>
  <c r="K8" i="5" l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<sst xmlns="http://schemas.openxmlformats.org/spreadsheetml/2006/main" count="47" uniqueCount="29">
  <si>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</si>
  <si>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</si>
  <si>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</si>
  <si>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</si>
  <si>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</si>
  <si>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</si>
  <si>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</si>
  <si>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</si>
  <si>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</si>
  <si>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</si>
  <si>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</si>
  <si>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</si>
  <si>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</si>
  <si>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</si>
  <si>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</si>
  <si>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</si>
  <si>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</si>
  <si>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</si>
  <si>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</si>
  <si>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</si>
  <si>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</si>
  <si>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</si>
  <si>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31.12.2023</t>
  </si>
  <si>
    <t>Получени средства от ЕК на основание изпратени заявления за плащане към 31.12.2023</t>
  </si>
  <si>
    <t>Общо получени средства от ЕК към 31.12.2023</t>
  </si>
  <si>
    <t>Платено към 31.12.2023</t>
  </si>
  <si>
    <t>Общо платено към 31.12.2023</t>
  </si>
  <si>
    <t>Обща сума на публичните разходи, декларирани пред ЕК със Заявления за плащане 
към 31.12.2023</t>
  </si>
  <si>
    <t>Обща сума на публичните разходи, сертифицрани пред ЕК с Годишни счетоводни отчети 
към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</si>
</sst>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  <numFmt numFmtId="173" formatCode="_-* #,##0.0000\ [$€-1]_-;\-* #,##0.0000\ [$€-1]_-;_-* &quot;-&quot;\ [$€-1]_-;_-@_-"/>
    <numFmt numFmtId="174" formatCode="_-* #,##0\ _л_в_-;\-* #,##0\ _л_в_-;_-* &quot;-&quot;????\ _л_в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 tint="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/>
    <xf numFmtId="0" fontId="3" fillId="0" borderId="0" xfId="0" applyFont="1" applyFill="1"/>
    <xf numFmtId="169" fontId="10" fillId="0" borderId="0" xfId="0" applyNumberFormat="1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9" fontId="4" fillId="0" borderId="0" xfId="0" applyNumberFormat="1" applyFont="1" applyFill="1"/>
    <xf numFmtId="169" fontId="4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3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2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  <xf numFmtId="10" fontId="3" fillId="0" borderId="0" xfId="6" applyNumberFormat="1" applyFont="1" applyFill="1"/>
    <xf numFmtId="174" fontId="3" fillId="0" borderId="0" xfId="0" applyNumberFormat="1" applyFont="1" applyFill="1" applyAlignment="1">
      <alignment horizontal="center" vertical="center"/>
    </xf>
    <xf numFmtId="167" fontId="12" fillId="0" borderId="0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71" fontId="1" fillId="0" borderId="1" xfId="1" applyNumberFormat="1" applyFont="1" applyFill="1" applyBorder="1" applyAlignment="1">
      <alignment horizontal="right" vertical="center"/>
    </xf>
  </cellXfs>
  <cellStyles count="7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  <cellStyle name="Percent" xfId="6" builtinId="5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ColWidth="9.140625" defaultRowHeight="15" x14ac:dyDescent="0.25"/>
  <cols>
    <col min="1" max="1" width="37.85546875" style="18" customWidth="1"/>
    <col min="2" max="2" width="7.85546875" style="33" customWidth="1"/>
    <col min="3" max="4" width="21.140625" style="33" customWidth="1"/>
    <col min="5" max="5" width="20.140625" style="33" customWidth="1"/>
    <col min="6" max="6" width="19.140625" style="33" customWidth="1"/>
    <col min="7" max="7" width="18.7109375" style="33" customWidth="1"/>
    <col min="8" max="8" width="17.42578125" style="33" customWidth="1"/>
    <col min="9" max="9" width="19" style="18" customWidth="1"/>
    <col min="10" max="10" width="17" style="18" customWidth="1"/>
    <col min="11" max="11" width="16.140625" style="18" customWidth="1"/>
    <col min="12" max="12" width="19.42578125" style="18" customWidth="1"/>
    <col min="13" max="13" width="19" style="18" customWidth="1"/>
    <col min="14" max="14" width="18.5703125" style="18" customWidth="1"/>
    <col min="15" max="16" width="15.85546875" style="18" hidden="1" customWidth="1"/>
    <col min="17" max="17" width="0.85546875" style="18" customWidth="1"/>
    <col min="18" max="18" width="14.28515625" style="18" customWidth="1"/>
    <col min="19" max="19" width="18.5703125" style="18" customWidth="1"/>
    <col min="20" max="20" width="36.140625" style="18" customWidth="1"/>
    <col min="21" max="16384" width="9.140625" style="18"/>
  </cols>
  <sheetData>
    <row r="1" spans="1:21" s="3" customFormat="1" ht="11.25" customHeight="1" x14ac:dyDescent="0.2">
      <c r="A1" s="1"/>
      <c r="B1" s="1"/>
      <c r="C1" s="2"/>
      <c r="D1" s="2"/>
      <c r="E1" s="2"/>
      <c r="F1" s="2"/>
      <c r="G1" s="2"/>
      <c r="H1" s="2"/>
    </row>
    <row r="2" spans="1:21" s="4" customFormat="1" ht="12.75" customHeight="1" x14ac:dyDescent="0.2">
      <c r="A2" s="48" t="s">
        <v>0</v>
      </c>
      <c r="B2" s="48" t="s">
        <v>1</v>
      </c>
      <c r="C2" s="46" t="s">
        <v>17</v>
      </c>
      <c r="D2" s="51" t="s">
        <v>18</v>
      </c>
      <c r="E2" s="46" t="s">
        <v>19</v>
      </c>
      <c r="F2" s="46" t="s">
        <v>22</v>
      </c>
      <c r="G2" s="46" t="s">
        <v>23</v>
      </c>
      <c r="H2" s="46" t="s">
        <v>24</v>
      </c>
      <c r="I2" s="53" t="s">
        <v>25</v>
      </c>
      <c r="J2" s="54"/>
      <c r="K2" s="46" t="s">
        <v>26</v>
      </c>
      <c r="L2" s="46" t="s">
        <v>27</v>
      </c>
      <c r="M2" s="46" t="s">
        <v>28</v>
      </c>
    </row>
    <row r="3" spans="1:21" s="4" customFormat="1" ht="87.75" customHeight="1" x14ac:dyDescent="0.2">
      <c r="A3" s="49"/>
      <c r="B3" s="49"/>
      <c r="C3" s="50"/>
      <c r="D3" s="52"/>
      <c r="E3" s="50"/>
      <c r="F3" s="50"/>
      <c r="G3" s="50"/>
      <c r="H3" s="50"/>
      <c r="I3" s="38" t="s">
        <v>2</v>
      </c>
      <c r="J3" s="38" t="s">
        <v>5</v>
      </c>
      <c r="K3" s="47"/>
      <c r="L3" s="47"/>
      <c r="M3" s="47"/>
    </row>
    <row r="4" spans="1:21" s="4" customFormat="1" ht="18.75" customHeight="1" x14ac:dyDescent="0.2">
      <c r="A4" s="5">
        <v>1</v>
      </c>
      <c r="B4" s="39">
        <v>2</v>
      </c>
      <c r="C4" s="40">
        <v>3</v>
      </c>
      <c r="D4" s="39">
        <v>4</v>
      </c>
      <c r="E4" s="39">
        <v>5</v>
      </c>
      <c r="F4" s="39">
        <v>6</v>
      </c>
      <c r="G4" s="39">
        <v>7</v>
      </c>
      <c r="H4" s="39">
        <v>8</v>
      </c>
      <c r="I4" s="39">
        <v>9</v>
      </c>
      <c r="J4" s="40">
        <v>10</v>
      </c>
      <c r="K4" s="40">
        <v>11</v>
      </c>
      <c r="L4" s="40">
        <v>12</v>
      </c>
      <c r="M4" s="40">
        <v>13</v>
      </c>
    </row>
    <row r="5" spans="1:21" s="11" customFormat="1" ht="39.6" customHeight="1" x14ac:dyDescent="0.25">
      <c r="A5" s="6" t="s">
        <v>6</v>
      </c>
      <c r="B5" s="7" t="s">
        <v>3</v>
      </c>
      <c r="C5" s="8">
        <f>C6+C7</f>
        <v>1520755090</v>
      </c>
      <c r="D5" s="8">
        <f>D6+D7</f>
        <v>242780313</v>
      </c>
      <c r="E5" s="8">
        <f>E6+E7</f>
        <v>1763535403</v>
      </c>
      <c r="F5" s="8">
        <f t="shared" ref="F5:M5" si="0">F6+F7</f>
        <v>185179115.40000001</v>
      </c>
      <c r="G5" s="8">
        <f t="shared" si="0"/>
        <v>1054997081.1299999</v>
      </c>
      <c r="H5" s="8">
        <f t="shared" si="0"/>
        <v>1240176196.53</v>
      </c>
      <c r="I5" s="9">
        <f>+I6+I7</f>
        <v>1342515479.8694251</v>
      </c>
      <c r="J5" s="9">
        <f>+J6+J7</f>
        <v>211767387.05574542</v>
      </c>
      <c r="K5" s="8">
        <f>K6+K7</f>
        <v>1554282866.9251704</v>
      </c>
      <c r="L5" s="9">
        <f>L6+L7</f>
        <v>1353562235.7214241</v>
      </c>
      <c r="M5" s="8">
        <f t="shared" si="0"/>
        <v>993012301.25999999</v>
      </c>
      <c r="N5" s="10"/>
      <c r="O5" s="10"/>
      <c r="P5" s="10"/>
      <c r="R5" s="10"/>
      <c r="S5" s="12"/>
      <c r="T5" s="10"/>
      <c r="U5" s="10"/>
    </row>
    <row r="6" spans="1:21" ht="29.25" customHeight="1" x14ac:dyDescent="0.25">
      <c r="A6" s="13" t="s">
        <v>9</v>
      </c>
      <c r="B6" s="14" t="s">
        <v>3</v>
      </c>
      <c r="C6" s="15">
        <v>438611756</v>
      </c>
      <c r="D6" s="15">
        <v>76607959</v>
      </c>
      <c r="E6" s="16">
        <f>+C6+D6</f>
        <v>515219715</v>
      </c>
      <c r="F6" s="17">
        <v>65162124.003750004</v>
      </c>
      <c r="G6" s="17">
        <v>371800814.94999993</v>
      </c>
      <c r="H6" s="16">
        <f>F6+G6</f>
        <v>436962938.95374995</v>
      </c>
      <c r="I6" s="17">
        <f>419320713.211716+4500000</f>
        <v>423820713.211716</v>
      </c>
      <c r="J6" s="16">
        <v>73997772.919714645</v>
      </c>
      <c r="K6" s="16">
        <f>+I6+J6</f>
        <v>497818486.13143063</v>
      </c>
      <c r="L6" s="20">
        <f>477609243.442335-2378.41/1.9558+1490687.54/1.9558+6400755.56/1.9558+5472565.86/1.9558+9788956.73/1.9558+8801235/1.9558</f>
        <v>493946201.3521418</v>
      </c>
      <c r="M6" s="16">
        <v>471380477.5</v>
      </c>
      <c r="N6" s="10"/>
      <c r="O6" s="10"/>
      <c r="P6" s="10"/>
      <c r="R6" s="10"/>
      <c r="S6" s="12"/>
      <c r="T6" s="19"/>
    </row>
    <row r="7" spans="1:21" ht="29.25" customHeight="1" x14ac:dyDescent="0.25">
      <c r="A7" s="13" t="s">
        <v>10</v>
      </c>
      <c r="B7" s="14" t="s">
        <v>3</v>
      </c>
      <c r="C7" s="15">
        <v>1082143334</v>
      </c>
      <c r="D7" s="15">
        <v>166172354</v>
      </c>
      <c r="E7" s="16">
        <f>+C7+D7</f>
        <v>1248315688</v>
      </c>
      <c r="F7" s="17">
        <v>120016991.39624999</v>
      </c>
      <c r="G7" s="17">
        <v>683196266.17999995</v>
      </c>
      <c r="H7" s="16">
        <f>F7+G7</f>
        <v>803213257.57624996</v>
      </c>
      <c r="I7" s="17">
        <f>780694480.104174+138000286.553535</f>
        <v>918694766.657709</v>
      </c>
      <c r="J7" s="16">
        <v>137769614.13603079</v>
      </c>
      <c r="K7" s="16">
        <f>+I7+J7</f>
        <v>1056464380.7937398</v>
      </c>
      <c r="L7" s="20">
        <f>647654505.792741-1172981.32/1.9558+2957589.44/1.9558+34806295.42/1.9558+54854754.77/1.9558+53203598.83/1.9558+269905100.45/1.9558</f>
        <v>859616034.36928236</v>
      </c>
      <c r="M7" s="16">
        <v>521631823.75999999</v>
      </c>
      <c r="N7" s="10"/>
      <c r="O7" s="10"/>
      <c r="P7" s="10"/>
      <c r="R7" s="10"/>
      <c r="S7" s="12"/>
      <c r="T7" s="19"/>
    </row>
    <row r="8" spans="1:21" s="11" customFormat="1" ht="29.25" customHeight="1" x14ac:dyDescent="0.25">
      <c r="A8" s="6" t="s">
        <v>7</v>
      </c>
      <c r="B8" s="7" t="s">
        <v>3</v>
      </c>
      <c r="C8" s="8">
        <f>C9+C10</f>
        <v>1439963913</v>
      </c>
      <c r="D8" s="8">
        <f t="shared" ref="D8:K8" si="1">D9+D10</f>
        <v>228540695</v>
      </c>
      <c r="E8" s="8">
        <f>E9+E10</f>
        <v>1668504608</v>
      </c>
      <c r="F8" s="8">
        <f t="shared" si="1"/>
        <v>158146291.68124998</v>
      </c>
      <c r="G8" s="8">
        <f t="shared" si="1"/>
        <v>1056076236.3100001</v>
      </c>
      <c r="H8" s="8">
        <f>H9+H10</f>
        <v>1214222527.99125</v>
      </c>
      <c r="I8" s="9">
        <f>+I9+I10</f>
        <v>1282524643.3520856</v>
      </c>
      <c r="J8" s="9">
        <f>+J9+J10</f>
        <v>200733980.2103554</v>
      </c>
      <c r="K8" s="8">
        <f t="shared" si="1"/>
        <v>1483258623.5624411</v>
      </c>
      <c r="L8" s="9">
        <f>L9+L10</f>
        <v>1342527165.4827738</v>
      </c>
      <c r="M8" s="8">
        <f>M9+M10</f>
        <v>785579840.74000001</v>
      </c>
      <c r="N8" s="10"/>
      <c r="O8" s="10"/>
      <c r="P8" s="10"/>
      <c r="R8" s="10"/>
      <c r="S8" s="12"/>
      <c r="T8" s="10"/>
    </row>
    <row r="9" spans="1:21" ht="29.25" customHeight="1" x14ac:dyDescent="0.25">
      <c r="A9" s="13" t="s">
        <v>9</v>
      </c>
      <c r="B9" s="14" t="s">
        <v>3</v>
      </c>
      <c r="C9" s="15">
        <v>335717166</v>
      </c>
      <c r="D9" s="15">
        <v>52361856</v>
      </c>
      <c r="E9" s="16">
        <f>+C9+D9</f>
        <v>388079022</v>
      </c>
      <c r="F9" s="17">
        <v>36031153.328749999</v>
      </c>
      <c r="G9" s="17">
        <v>263084058.35999998</v>
      </c>
      <c r="H9" s="16">
        <f>F9+G9</f>
        <v>299115211.68874997</v>
      </c>
      <c r="I9" s="17">
        <f>261564739.715189+38997936.9219206</f>
        <v>300562676.63710964</v>
      </c>
      <c r="J9" s="16">
        <v>46158483.479151063</v>
      </c>
      <c r="K9" s="16">
        <f>I9+J9</f>
        <v>346721160.11626071</v>
      </c>
      <c r="L9" s="20">
        <f>204560617.590967-2059817.82/1.9558+8497076.29/1.9558+37384702.85/1.9558+19970723.19/1.9558+34161630.74/1.9558+126795196.51/1.9558</f>
        <v>319474980.9000988</v>
      </c>
      <c r="M9" s="16">
        <v>158566903.72</v>
      </c>
      <c r="N9" s="10"/>
      <c r="O9" s="10"/>
      <c r="P9" s="10"/>
      <c r="R9" s="10"/>
      <c r="S9" s="12"/>
      <c r="T9" s="19"/>
    </row>
    <row r="10" spans="1:21" ht="29.25" customHeight="1" x14ac:dyDescent="0.25">
      <c r="A10" s="13" t="s">
        <v>10</v>
      </c>
      <c r="B10" s="14" t="s">
        <v>3</v>
      </c>
      <c r="C10" s="15">
        <v>1104246747</v>
      </c>
      <c r="D10" s="15">
        <v>176178839</v>
      </c>
      <c r="E10" s="16">
        <f>+C10+D10</f>
        <v>1280425586</v>
      </c>
      <c r="F10" s="17">
        <v>122115138.35249999</v>
      </c>
      <c r="G10" s="55">
        <v>792992177.95000005</v>
      </c>
      <c r="H10" s="16">
        <f>F10+G10</f>
        <v>915107316.30250001</v>
      </c>
      <c r="I10" s="17">
        <f>875927814.810158+106034151.904818</f>
        <v>981961966.71497607</v>
      </c>
      <c r="J10" s="16">
        <v>154575496.73120433</v>
      </c>
      <c r="K10" s="16">
        <f>I10+J10</f>
        <v>1136537463.4461803</v>
      </c>
      <c r="L10" s="20">
        <f>745716493.755392-5172507.32/1.9558+18570116.15/1.9558+57186185.25/1.9558+28440741.99/1.9558+152130250.54/1.9558+291258357.51/1.9558</f>
        <v>1023052184.582675</v>
      </c>
      <c r="M10" s="16">
        <v>627012937.01999998</v>
      </c>
      <c r="N10" s="10"/>
      <c r="O10" s="10"/>
      <c r="P10" s="10"/>
      <c r="R10" s="10"/>
      <c r="S10" s="12"/>
      <c r="T10" s="19"/>
    </row>
    <row r="11" spans="1:21" s="11" customFormat="1" ht="27.75" customHeight="1" x14ac:dyDescent="0.25">
      <c r="A11" s="6" t="s">
        <v>13</v>
      </c>
      <c r="B11" s="7" t="s">
        <v>3</v>
      </c>
      <c r="C11" s="8">
        <f>C12+C13</f>
        <v>595110177</v>
      </c>
      <c r="D11" s="8">
        <f t="shared" ref="D11:M11" si="2">D12+D13</f>
        <v>91613162</v>
      </c>
      <c r="E11" s="8">
        <f t="shared" si="2"/>
        <v>686723339</v>
      </c>
      <c r="F11" s="8">
        <f t="shared" si="2"/>
        <v>87752945.907499999</v>
      </c>
      <c r="G11" s="8">
        <f t="shared" si="2"/>
        <v>454786952.38</v>
      </c>
      <c r="H11" s="8">
        <f t="shared" si="2"/>
        <v>542539898.28750002</v>
      </c>
      <c r="I11" s="9">
        <f>+I12+I13</f>
        <v>563694033.65874708</v>
      </c>
      <c r="J11" s="9">
        <f>+J12+J13</f>
        <v>86868283.055166423</v>
      </c>
      <c r="K11" s="8">
        <f t="shared" si="2"/>
        <v>650562316.71391344</v>
      </c>
      <c r="L11" s="9">
        <f>L12+L13</f>
        <v>590066870.4592452</v>
      </c>
      <c r="M11" s="8">
        <f t="shared" si="2"/>
        <v>408661739.31999999</v>
      </c>
      <c r="N11" s="10"/>
      <c r="O11" s="10"/>
      <c r="P11" s="10"/>
      <c r="R11" s="10"/>
      <c r="S11" s="12"/>
      <c r="T11" s="10"/>
    </row>
    <row r="12" spans="1:21" s="21" customFormat="1" ht="29.25" customHeight="1" x14ac:dyDescent="0.25">
      <c r="A12" s="13" t="s">
        <v>9</v>
      </c>
      <c r="B12" s="14" t="s">
        <v>3</v>
      </c>
      <c r="C12" s="15">
        <v>186989211</v>
      </c>
      <c r="D12" s="15">
        <v>29653891</v>
      </c>
      <c r="E12" s="16">
        <f>+C12+D12</f>
        <v>216643102</v>
      </c>
      <c r="F12" s="16">
        <v>22900579.047499999</v>
      </c>
      <c r="G12" s="17">
        <v>133711696.44</v>
      </c>
      <c r="H12" s="16">
        <f t="shared" ref="H12:H19" si="3">F12+G12</f>
        <v>156612275.48750001</v>
      </c>
      <c r="I12" s="17">
        <f>142007127.427725+17784850.1863659</f>
        <v>159791977.61409089</v>
      </c>
      <c r="J12" s="16">
        <v>25060081.310775012</v>
      </c>
      <c r="K12" s="16">
        <f t="shared" ref="K12:K18" si="4">I12+J12</f>
        <v>184852058.9248659</v>
      </c>
      <c r="L12" s="20">
        <f>107546393.822339-786940.5/1.9558+8556846.49/1.9558+6445736.97/1.9558+19899857.75/1.9558+15710769.95/1.9558+24459838.39/1.9558+48393175.47/1.9558</f>
        <v>170272278.1254375</v>
      </c>
      <c r="M12" s="20">
        <v>93493944.829999998</v>
      </c>
      <c r="N12" s="10"/>
      <c r="O12" s="10"/>
      <c r="P12" s="10"/>
      <c r="R12" s="10"/>
      <c r="S12" s="12"/>
      <c r="T12" s="10"/>
    </row>
    <row r="13" spans="1:21" s="11" customFormat="1" ht="29.25" customHeight="1" x14ac:dyDescent="0.25">
      <c r="A13" s="13" t="s">
        <v>11</v>
      </c>
      <c r="B13" s="14" t="s">
        <v>3</v>
      </c>
      <c r="C13" s="15">
        <f>352102522+56018444</f>
        <v>408120966</v>
      </c>
      <c r="D13" s="15">
        <v>61959271</v>
      </c>
      <c r="E13" s="16">
        <f t="shared" ref="E13:E19" si="5">+C13+D13</f>
        <v>470080237</v>
      </c>
      <c r="F13" s="17">
        <v>64852366.860000007</v>
      </c>
      <c r="G13" s="17">
        <v>321075255.94</v>
      </c>
      <c r="H13" s="16">
        <f t="shared" si="3"/>
        <v>385927622.80000001</v>
      </c>
      <c r="I13" s="17">
        <f>350246476.551551+53655579.4931052</f>
        <v>403902056.04465616</v>
      </c>
      <c r="J13" s="16">
        <v>61808201.744391412</v>
      </c>
      <c r="K13" s="16">
        <f>I13+J13</f>
        <v>465710257.7890476</v>
      </c>
      <c r="L13" s="16">
        <f>360184717.433511-20340.5/1.9558-16346.1/1.9558+17640663.85/1.9558+11998366.98/1.9558+24435503.47/1.9558+17785183.93/1.9558+22504520.62/1.9558+22257441.08/1.9558</f>
        <v>419794592.33380765</v>
      </c>
      <c r="M13" s="16">
        <v>315167794.49000001</v>
      </c>
      <c r="N13" s="10"/>
      <c r="O13" s="10"/>
      <c r="P13" s="10"/>
      <c r="R13" s="10"/>
      <c r="S13" s="12"/>
      <c r="T13" s="10"/>
    </row>
    <row r="14" spans="1:21" s="21" customFormat="1" ht="29.25" customHeight="1" x14ac:dyDescent="0.25">
      <c r="A14" s="6" t="s">
        <v>12</v>
      </c>
      <c r="B14" s="7" t="s">
        <v>3</v>
      </c>
      <c r="C14" s="9">
        <f>1311704793+66095345</f>
        <v>1377800138</v>
      </c>
      <c r="D14" s="9">
        <v>221858660</v>
      </c>
      <c r="E14" s="8">
        <f t="shared" si="5"/>
        <v>1599658798</v>
      </c>
      <c r="F14" s="9">
        <v>182673768.41625002</v>
      </c>
      <c r="G14" s="9">
        <v>924976019.84000051</v>
      </c>
      <c r="H14" s="9">
        <f t="shared" si="3"/>
        <v>1107649788.2562506</v>
      </c>
      <c r="I14" s="9">
        <f>1163835953.18329+97316426.852027</f>
        <v>1261152380.0353169</v>
      </c>
      <c r="J14" s="9">
        <v>205382815.26763994</v>
      </c>
      <c r="K14" s="9">
        <f t="shared" si="4"/>
        <v>1466535195.3029568</v>
      </c>
      <c r="L14" s="9">
        <f>967695569.169556+15138838.17/1.9558-2402850.3/1.9558-2743.54/1.9558+25217716.69/1.9558+26840232.12/1.9558+106124639.93/1.9558+25930180.74/1.9558+33574359.86/1.9558+41377038.03/1.9558+159624524.19/1.9558</f>
        <v>1188281485.873718</v>
      </c>
      <c r="M14" s="9">
        <v>924831926.42999995</v>
      </c>
      <c r="N14" s="10"/>
      <c r="O14" s="10"/>
      <c r="P14" s="10"/>
      <c r="Q14" s="22"/>
      <c r="R14" s="10"/>
      <c r="S14" s="12"/>
      <c r="T14" s="10"/>
    </row>
    <row r="15" spans="1:21" s="21" customFormat="1" ht="29.25" customHeight="1" x14ac:dyDescent="0.25">
      <c r="A15" s="23" t="s">
        <v>8</v>
      </c>
      <c r="B15" s="7" t="s">
        <v>3</v>
      </c>
      <c r="C15" s="9">
        <f>996896918+173640925+36375789</f>
        <v>1206913632</v>
      </c>
      <c r="D15" s="9">
        <v>165102510</v>
      </c>
      <c r="E15" s="9">
        <f>+C15+D15</f>
        <v>1372016142</v>
      </c>
      <c r="F15" s="9">
        <v>222903094.41999999</v>
      </c>
      <c r="G15" s="9">
        <v>959978395.5</v>
      </c>
      <c r="H15" s="9">
        <f t="shared" si="3"/>
        <v>1182881489.9200001</v>
      </c>
      <c r="I15" s="9">
        <v>1150567555.4674218</v>
      </c>
      <c r="J15" s="9">
        <v>159907322.38463709</v>
      </c>
      <c r="K15" s="9">
        <f t="shared" si="4"/>
        <v>1310474877.8520589</v>
      </c>
      <c r="L15" s="9">
        <f>1117502500.59107+82251884.29/1.9558-435626.68/1.9558+18166372.34/1.9558+62371629.32/1.9558+45052240.24/1.9558+35428170.7/1.9558+24718792.99/1.9558+55329941.57/1.9558</f>
        <v>1282592696.3012657</v>
      </c>
      <c r="M15" s="9">
        <v>1069359136.97</v>
      </c>
      <c r="N15" s="10"/>
      <c r="O15" s="10"/>
      <c r="P15" s="10"/>
      <c r="R15" s="10"/>
      <c r="S15" s="12"/>
      <c r="T15" s="12"/>
    </row>
    <row r="16" spans="1:21" s="21" customFormat="1" ht="43.15" customHeight="1" x14ac:dyDescent="0.25">
      <c r="A16" s="6" t="s">
        <v>20</v>
      </c>
      <c r="B16" s="7" t="s">
        <v>3</v>
      </c>
      <c r="C16" s="9">
        <f>1428375935+15000000</f>
        <v>1443375935</v>
      </c>
      <c r="D16" s="9">
        <f>212049066</f>
        <v>212049066</v>
      </c>
      <c r="E16" s="9">
        <f t="shared" si="5"/>
        <v>1655425001</v>
      </c>
      <c r="F16" s="9">
        <v>222667669.54624999</v>
      </c>
      <c r="G16" s="9">
        <v>1220708265.4499998</v>
      </c>
      <c r="H16" s="9">
        <f>F16+G16</f>
        <v>1443375934.9962497</v>
      </c>
      <c r="I16" s="9">
        <f>1188447596.04696+204454830.113047+30246915.1204348</f>
        <v>1423149341.2804418</v>
      </c>
      <c r="J16" s="9">
        <v>209726046.36122829</v>
      </c>
      <c r="K16" s="9">
        <f>I16+J16</f>
        <v>1632875387.64167</v>
      </c>
      <c r="L16" s="9">
        <f>1332505528.62955-3397233.47/1.9558+6211503.72/1.9558+7875923.01/1.9558+13198256.08/1.9558+179984792.97/1.9558+20849291.25/1.9558+260172114.03/1.9558</f>
        <v>1580432028.0620072</v>
      </c>
      <c r="M16" s="9">
        <v>1277276995.76</v>
      </c>
      <c r="N16" s="10"/>
      <c r="O16" s="10"/>
      <c r="P16" s="10"/>
      <c r="R16" s="10"/>
      <c r="S16" s="12"/>
      <c r="T16" s="10"/>
    </row>
    <row r="17" spans="1:20" s="21" customFormat="1" ht="29.25" customHeight="1" x14ac:dyDescent="0.2">
      <c r="A17" s="24" t="s">
        <v>14</v>
      </c>
      <c r="B17" s="7" t="s">
        <v>3</v>
      </c>
      <c r="C17" s="9">
        <v>102000000</v>
      </c>
      <c r="D17" s="9">
        <v>0</v>
      </c>
      <c r="E17" s="9">
        <f t="shared" si="5"/>
        <v>102000000</v>
      </c>
      <c r="F17" s="9">
        <v>6502500</v>
      </c>
      <c r="G17" s="9">
        <v>95497500</v>
      </c>
      <c r="H17" s="9">
        <f t="shared" si="3"/>
        <v>102000000</v>
      </c>
      <c r="I17" s="9">
        <v>102000000</v>
      </c>
      <c r="J17" s="9">
        <v>0</v>
      </c>
      <c r="K17" s="9">
        <f t="shared" si="4"/>
        <v>102000000</v>
      </c>
      <c r="L17" s="9">
        <f>102001564.57</f>
        <v>102001564.56999999</v>
      </c>
      <c r="M17" s="9">
        <v>102001564.57460579</v>
      </c>
      <c r="N17" s="10"/>
      <c r="O17" s="10"/>
      <c r="P17" s="10"/>
      <c r="R17" s="10"/>
      <c r="S17" s="10"/>
      <c r="T17" s="10"/>
    </row>
    <row r="18" spans="1:20" s="21" customFormat="1" ht="29.25" customHeight="1" x14ac:dyDescent="0.25">
      <c r="A18" s="6" t="s">
        <v>15</v>
      </c>
      <c r="B18" s="7" t="s">
        <v>3</v>
      </c>
      <c r="C18" s="9">
        <v>238398862</v>
      </c>
      <c r="D18" s="9">
        <v>41458720</v>
      </c>
      <c r="E18" s="9">
        <f t="shared" si="5"/>
        <v>279857582</v>
      </c>
      <c r="F18" s="9">
        <v>31092785.035</v>
      </c>
      <c r="G18" s="9">
        <v>188478150.76000002</v>
      </c>
      <c r="H18" s="9">
        <f t="shared" si="3"/>
        <v>219570935.79500002</v>
      </c>
      <c r="I18" s="9">
        <f>219327503.456162+3465724.39322436</f>
        <v>222793227.84938636</v>
      </c>
      <c r="J18" s="9">
        <v>38704853.551087447</v>
      </c>
      <c r="K18" s="9">
        <f t="shared" si="4"/>
        <v>261498081.4004738</v>
      </c>
      <c r="L18" s="9">
        <f>205642205.901344+8397116.92/1.9558-625400.94/1.9558+5434747.07/1.9558+6633566.45/1.9558+3881634.98/1.9558+12160050.49/1.9558+34013423.55/1.9558+6778367.74/1.9558</f>
        <v>244845348.48238501</v>
      </c>
      <c r="M18" s="9">
        <v>167880273.15000001</v>
      </c>
      <c r="N18" s="10"/>
      <c r="O18" s="10"/>
      <c r="P18" s="10"/>
      <c r="R18" s="10"/>
      <c r="S18" s="12"/>
      <c r="T18" s="10"/>
    </row>
    <row r="19" spans="1:20" s="21" customFormat="1" ht="46.15" customHeight="1" x14ac:dyDescent="0.25">
      <c r="A19" s="6" t="s">
        <v>16</v>
      </c>
      <c r="B19" s="7" t="s">
        <v>3</v>
      </c>
      <c r="C19" s="9">
        <f>104815264+19940383+18624211</f>
        <v>143379858</v>
      </c>
      <c r="D19" s="9">
        <v>18496812</v>
      </c>
      <c r="E19" s="9">
        <f t="shared" si="5"/>
        <v>161876670</v>
      </c>
      <c r="F19" s="9">
        <v>13723121.170000002</v>
      </c>
      <c r="G19" s="9">
        <v>129656736.82999995</v>
      </c>
      <c r="H19" s="9">
        <f t="shared" si="3"/>
        <v>143379857.99999994</v>
      </c>
      <c r="I19" s="9">
        <f>105333218.356066+37927034.7729608</f>
        <v>143260253.1290268</v>
      </c>
      <c r="J19" s="9">
        <v>18588215.004011724</v>
      </c>
      <c r="K19" s="9">
        <f>I19+J19</f>
        <v>161848468.13303852</v>
      </c>
      <c r="L19" s="9">
        <f>154698959.110356+9610218.9/1.9558-186144.28/1.9558+1379659.02/1.9558+3172756.86/1.9558</f>
        <v>161845134.84407115</v>
      </c>
      <c r="M19" s="9">
        <v>143075804.25999999</v>
      </c>
      <c r="N19" s="25"/>
      <c r="O19" s="25"/>
      <c r="P19" s="25"/>
      <c r="R19" s="25"/>
      <c r="S19" s="12"/>
      <c r="T19" s="10"/>
    </row>
    <row r="20" spans="1:20" s="11" customFormat="1" ht="36" customHeight="1" x14ac:dyDescent="0.2">
      <c r="A20" s="41" t="s">
        <v>4</v>
      </c>
      <c r="B20" s="42"/>
      <c r="C20" s="8">
        <f>+C5+C8+C11+C14+C15+C16+C17+C18+C19</f>
        <v>8067697605</v>
      </c>
      <c r="D20" s="8">
        <f>+D5+D8+D11+D14+D15+D16+D17+D18+D19</f>
        <v>1221899938</v>
      </c>
      <c r="E20" s="8">
        <f>+C20+D20</f>
        <v>9289597543</v>
      </c>
      <c r="F20" s="8">
        <f t="shared" ref="F20:M20" si="6">+F5+F8+F11+F14+F15+F16+F17+F18+F19</f>
        <v>1110641291.5762501</v>
      </c>
      <c r="G20" s="8">
        <f t="shared" si="6"/>
        <v>6085155338.2000008</v>
      </c>
      <c r="H20" s="8">
        <f t="shared" si="6"/>
        <v>7195796629.7762508</v>
      </c>
      <c r="I20" s="9">
        <f t="shared" si="6"/>
        <v>7491656914.6418514</v>
      </c>
      <c r="J20" s="9">
        <f t="shared" si="6"/>
        <v>1131678902.8898716</v>
      </c>
      <c r="K20" s="9">
        <f t="shared" si="6"/>
        <v>8623335817.531723</v>
      </c>
      <c r="L20" s="8">
        <f>+L5+L8+L11+L14+L15+L16+L17+L18+L19</f>
        <v>7846154529.7968893</v>
      </c>
      <c r="M20" s="8">
        <f t="shared" si="6"/>
        <v>5871679582.4646063</v>
      </c>
      <c r="N20" s="35"/>
      <c r="O20" s="10"/>
      <c r="P20" s="10"/>
      <c r="R20" s="10"/>
      <c r="S20" s="10"/>
      <c r="T20" s="10"/>
    </row>
    <row r="21" spans="1:20" s="11" customFormat="1" ht="36" hidden="1" customHeight="1" x14ac:dyDescent="0.2">
      <c r="A21" s="43" t="s">
        <v>21</v>
      </c>
      <c r="B21" s="44"/>
      <c r="C21" s="44"/>
      <c r="D21" s="44"/>
      <c r="E21" s="45"/>
      <c r="F21" s="45"/>
      <c r="G21" s="45"/>
      <c r="H21" s="26"/>
      <c r="I21" s="27">
        <v>5313111035</v>
      </c>
      <c r="J21" s="26">
        <v>863951362</v>
      </c>
      <c r="K21" s="26">
        <v>6177062397</v>
      </c>
      <c r="L21" s="28">
        <v>5210023103.3623095</v>
      </c>
      <c r="M21" s="29"/>
    </row>
    <row r="22" spans="1:20" s="11" customFormat="1" ht="36" hidden="1" customHeight="1" x14ac:dyDescent="0.2">
      <c r="A22" s="41" t="s">
        <v>4</v>
      </c>
      <c r="B22" s="42"/>
      <c r="C22" s="8">
        <v>8050824063</v>
      </c>
      <c r="D22" s="8">
        <v>1299138290</v>
      </c>
      <c r="E22" s="8">
        <v>9349962353</v>
      </c>
      <c r="F22" s="8">
        <v>1029065929.5862501</v>
      </c>
      <c r="G22" s="8">
        <v>4635435304.6800003</v>
      </c>
      <c r="H22" s="8">
        <v>5664501234.2662497</v>
      </c>
      <c r="I22" s="9">
        <v>5870050430.1817675</v>
      </c>
      <c r="J22" s="9">
        <v>950886002.71392274</v>
      </c>
      <c r="K22" s="9">
        <v>6820936432.8956909</v>
      </c>
      <c r="L22" s="8">
        <v>5994533434.5161791</v>
      </c>
      <c r="M22" s="8">
        <v>4519771174.5246067</v>
      </c>
    </row>
    <row r="23" spans="1:20" s="11" customFormat="1" ht="27" customHeight="1" x14ac:dyDescent="0.2">
      <c r="A23" s="1"/>
      <c r="B23" s="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20" s="11" customFormat="1" ht="29.25" customHeight="1" x14ac:dyDescent="0.2">
      <c r="A24" s="1"/>
      <c r="B24" s="1"/>
      <c r="C24" s="36"/>
      <c r="D24" s="36"/>
      <c r="E24" s="36"/>
      <c r="F24" s="30"/>
      <c r="G24" s="30"/>
      <c r="H24" s="30"/>
      <c r="I24" s="30"/>
      <c r="J24" s="30"/>
      <c r="K24" s="30"/>
      <c r="L24" s="30"/>
      <c r="M24" s="30"/>
      <c r="S24" s="10"/>
    </row>
    <row r="25" spans="1:20" s="11" customFormat="1" ht="29.25" customHeight="1" x14ac:dyDescent="0.2">
      <c r="A25" s="1"/>
      <c r="B25" s="1"/>
      <c r="C25" s="37"/>
      <c r="D25" s="37"/>
      <c r="E25" s="37"/>
      <c r="F25" s="26"/>
      <c r="G25" s="26"/>
      <c r="H25" s="26"/>
      <c r="I25" s="26"/>
      <c r="J25" s="26"/>
      <c r="K25" s="26"/>
      <c r="L25" s="30"/>
      <c r="M25" s="30"/>
      <c r="P25" s="10"/>
    </row>
    <row r="26" spans="1:20" s="11" customFormat="1" ht="29.25" customHeight="1" x14ac:dyDescent="0.2">
      <c r="A26" s="1"/>
      <c r="B26" s="1"/>
      <c r="C26" s="31"/>
      <c r="D26" s="26"/>
      <c r="E26" s="26"/>
      <c r="F26" s="26"/>
      <c r="G26" s="26"/>
      <c r="H26" s="26"/>
      <c r="I26" s="26"/>
      <c r="J26" s="26"/>
      <c r="K26" s="26"/>
      <c r="L26" s="30"/>
      <c r="M26" s="30"/>
    </row>
    <row r="27" spans="1:20" s="11" customFormat="1" ht="29.25" customHeight="1" x14ac:dyDescent="0.2">
      <c r="A27" s="1"/>
      <c r="B27" s="1"/>
      <c r="C27" s="31"/>
      <c r="D27" s="26"/>
      <c r="E27" s="26"/>
      <c r="F27" s="26"/>
      <c r="G27" s="26"/>
      <c r="H27" s="26"/>
      <c r="I27" s="26"/>
      <c r="J27" s="26"/>
      <c r="K27" s="26"/>
      <c r="L27" s="30"/>
      <c r="M27" s="30"/>
    </row>
    <row r="28" spans="1:20" x14ac:dyDescent="0.25">
      <c r="B28" s="1"/>
      <c r="C28" s="31"/>
      <c r="D28" s="26"/>
      <c r="E28" s="26"/>
      <c r="F28" s="26"/>
      <c r="G28" s="26"/>
      <c r="H28" s="26"/>
      <c r="I28" s="32"/>
      <c r="J28" s="26"/>
      <c r="K28" s="26"/>
      <c r="L28" s="30"/>
      <c r="M28" s="30"/>
    </row>
    <row r="29" spans="1:20" x14ac:dyDescent="0.25">
      <c r="K29" s="34"/>
    </row>
    <row r="30" spans="1:20" x14ac:dyDescent="0.25">
      <c r="K30" s="34"/>
    </row>
    <row r="31" spans="1:20" x14ac:dyDescent="0.25">
      <c r="K31" s="34"/>
    </row>
    <row r="32" spans="1:20" x14ac:dyDescent="0.25">
      <c r="K32" s="34"/>
    </row>
    <row r="33" spans="2:11" x14ac:dyDescent="0.25">
      <c r="B33" s="18"/>
      <c r="C33" s="18"/>
      <c r="D33" s="18"/>
      <c r="E33" s="18"/>
      <c r="F33" s="18"/>
      <c r="G33" s="18"/>
      <c r="H33" s="18"/>
      <c r="K33" s="34"/>
    </row>
    <row r="835" spans="23:23" x14ac:dyDescent="0.25">
      <c r="W835" s="18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2024-01-29T08:05:04Z</dcterms:modified>
</cp:coreProperties>
</file>