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fshare\MF\НАЦИОНАЛЕН ФОНД\ФСД\public\Счетоводна отчетност\SPARVKI\SCF spravki\INTERNET\2014-2020\2023\06.2023\"/>
    </mc:Choice>
  </mc:AlternateContent>
  <bookViews>
    <workbookView xWindow="0" yWindow="0" windowWidth="14370" windowHeight="3675"/>
  </bookViews>
  <sheets>
    <sheet name="SCF_financial info_EUR_ENG" sheetId="5" r:id="rId1"/>
  </sheets>
  <definedNames>
    <definedName name="_xlnm.Print_Area" localSheetId="0">'SCF_financial info_EUR_ENG'!$A$1:$M$21</definedName>
  </definedNames>
  <calcPr calcId="162913"/>
</workbook>
</file>

<file path=xl/calcChain.xml><?xml version="1.0" encoding="utf-8"?>
<calcChain xmlns="http://schemas.openxmlformats.org/spreadsheetml/2006/main">
  <c r="L19" i="5" l="1"/>
  <c r="K19" i="5"/>
  <c r="I19" i="5"/>
  <c r="H19" i="5"/>
  <c r="E19" i="5"/>
  <c r="C19" i="5"/>
  <c r="L18" i="5"/>
  <c r="K18" i="5"/>
  <c r="H18" i="5"/>
  <c r="E18" i="5"/>
  <c r="L17" i="5"/>
  <c r="K17" i="5"/>
  <c r="H17" i="5"/>
  <c r="E17" i="5"/>
  <c r="L16" i="5"/>
  <c r="I16" i="5"/>
  <c r="K16" i="5" s="1"/>
  <c r="H16" i="5"/>
  <c r="D16" i="5"/>
  <c r="E16" i="5" s="1"/>
  <c r="C16" i="5"/>
  <c r="L15" i="5"/>
  <c r="K15" i="5"/>
  <c r="H15" i="5"/>
  <c r="C15" i="5"/>
  <c r="E15" i="5" s="1"/>
  <c r="L14" i="5"/>
  <c r="I14" i="5"/>
  <c r="K14" i="5" s="1"/>
  <c r="H14" i="5"/>
  <c r="C14" i="5"/>
  <c r="E14" i="5" s="1"/>
  <c r="L13" i="5"/>
  <c r="I13" i="5"/>
  <c r="K13" i="5" s="1"/>
  <c r="H13" i="5"/>
  <c r="C13" i="5"/>
  <c r="E13" i="5" s="1"/>
  <c r="L12" i="5"/>
  <c r="K12" i="5"/>
  <c r="H12" i="5"/>
  <c r="H11" i="5" s="1"/>
  <c r="E12" i="5"/>
  <c r="E11" i="5" s="1"/>
  <c r="M11" i="5"/>
  <c r="L11" i="5"/>
  <c r="J11" i="5"/>
  <c r="I11" i="5"/>
  <c r="G11" i="5"/>
  <c r="F11" i="5"/>
  <c r="D11" i="5"/>
  <c r="C11" i="5"/>
  <c r="L10" i="5"/>
  <c r="K10" i="5"/>
  <c r="H10" i="5"/>
  <c r="E10" i="5"/>
  <c r="L9" i="5"/>
  <c r="L8" i="5" s="1"/>
  <c r="K9" i="5"/>
  <c r="K8" i="5" s="1"/>
  <c r="H9" i="5"/>
  <c r="H8" i="5" s="1"/>
  <c r="E9" i="5"/>
  <c r="M8" i="5"/>
  <c r="M20" i="5" s="1"/>
  <c r="J8" i="5"/>
  <c r="J20" i="5" s="1"/>
  <c r="I8" i="5"/>
  <c r="G8" i="5"/>
  <c r="G20" i="5" s="1"/>
  <c r="F8" i="5"/>
  <c r="E8" i="5"/>
  <c r="D8" i="5"/>
  <c r="D20" i="5" s="1"/>
  <c r="C8" i="5"/>
  <c r="L7" i="5"/>
  <c r="K7" i="5"/>
  <c r="H7" i="5"/>
  <c r="E7" i="5"/>
  <c r="L6" i="5"/>
  <c r="L5" i="5" s="1"/>
  <c r="L20" i="5" s="1"/>
  <c r="K6" i="5"/>
  <c r="H6" i="5"/>
  <c r="E6" i="5"/>
  <c r="M5" i="5"/>
  <c r="K5" i="5"/>
  <c r="J5" i="5"/>
  <c r="I5" i="5"/>
  <c r="I20" i="5" s="1"/>
  <c r="H5" i="5"/>
  <c r="H20" i="5" s="1"/>
  <c r="G5" i="5"/>
  <c r="F5" i="5"/>
  <c r="F20" i="5" s="1"/>
  <c r="E5" i="5"/>
  <c r="D5" i="5"/>
  <c r="C5" i="5"/>
  <c r="C20" i="5" s="1"/>
  <c r="E20" i="5" s="1"/>
  <c r="K11" i="5" l="1"/>
  <c r="K20" i="5" s="1"/>
  <c r="AA8" i="5"/>
  <c r="AC8" i="5" s="1"/>
  <c r="AA9" i="5"/>
  <c r="AA10" i="5"/>
  <c r="AA12" i="5"/>
  <c r="AA13" i="5"/>
  <c r="AA14" i="5"/>
  <c r="AC14" i="5" s="1"/>
  <c r="AA15" i="5"/>
  <c r="AC15" i="5" s="1"/>
  <c r="AA16" i="5"/>
  <c r="AC16" i="5" s="1"/>
  <c r="AA17" i="5"/>
  <c r="AA18" i="5"/>
  <c r="AC18" i="5" s="1"/>
  <c r="AA19" i="5"/>
  <c r="AC19" i="5" s="1"/>
  <c r="Z8" i="5"/>
  <c r="Z9" i="5"/>
  <c r="Z10" i="5"/>
  <c r="Z12" i="5"/>
  <c r="Z13" i="5"/>
  <c r="Z14" i="5"/>
  <c r="Z15" i="5"/>
  <c r="Z16" i="5"/>
  <c r="Z17" i="5"/>
  <c r="Z18" i="5"/>
  <c r="Z19" i="5"/>
  <c r="AA11" i="5" l="1"/>
  <c r="AC11" i="5" s="1"/>
  <c r="Z11" i="5"/>
  <c r="AA6" i="5"/>
  <c r="Z7" i="5" l="1"/>
  <c r="AA7" i="5"/>
  <c r="AA5" i="5" s="1"/>
  <c r="AC5" i="5" s="1"/>
  <c r="Z6" i="5"/>
</calcChain>
</file>

<file path=xl/sharedStrings.xml><?xml version="1.0" encoding="utf-8"?>
<sst xmlns="http://schemas.openxmlformats.org/spreadsheetml/2006/main" count="47" uniqueCount="31">
  <si>
    <t xml:space="preserve">OP / FUND </t>
  </si>
  <si>
    <t>currency</t>
  </si>
  <si>
    <t xml:space="preserve">OP Budget - EC financing </t>
  </si>
  <si>
    <t>OP Budget - national Co-financing</t>
  </si>
  <si>
    <t>OP Budget  - Total</t>
  </si>
  <si>
    <t>EC part</t>
  </si>
  <si>
    <t>National Co-financing part</t>
  </si>
  <si>
    <t>1. OP Transport and Transport Infrastructure / ERDF &amp; CF</t>
  </si>
  <si>
    <t>Euro</t>
  </si>
  <si>
    <t>ERDF</t>
  </si>
  <si>
    <t>CF</t>
  </si>
  <si>
    <t>2. OP Environment 2014-2020/ ERDF &amp; CF</t>
  </si>
  <si>
    <t xml:space="preserve">3. OP Science and Education for Smart Growth /ERDF &amp; ESF </t>
  </si>
  <si>
    <t xml:space="preserve">  ERDF</t>
  </si>
  <si>
    <t xml:space="preserve">  ESF</t>
  </si>
  <si>
    <t>4. OP Regions in Growth / ERDF</t>
  </si>
  <si>
    <t>5. OP Human Resourses Development 2014-2020 / ESF</t>
  </si>
  <si>
    <t>7. OP SME Initiative /ERDF</t>
  </si>
  <si>
    <t>8. OP Good Governance / ESF</t>
  </si>
  <si>
    <t>9. OP Fund for EU Aid for the most deprived</t>
  </si>
  <si>
    <t>Total</t>
  </si>
  <si>
    <t xml:space="preserve"> </t>
  </si>
  <si>
    <t>6. OP Innovation and Competitiveness 2014-2020  / ERDF *</t>
  </si>
  <si>
    <t xml:space="preserve">* payments made under the scheme BG16RFOP002-2.073 Support for micro and small enterprises to overcome the economic consequences of the COVID-19 pandemic are reported  </t>
  </si>
  <si>
    <t>Total pre-financing received from the EC up to 30.06.2023</t>
  </si>
  <si>
    <t>Funds received from the EC based on submitted applications for payment up to  30.06.2023</t>
  </si>
  <si>
    <t>Total funds received from the EC up to  30.06.2023</t>
  </si>
  <si>
    <t>Paid up to  30.06.2023</t>
  </si>
  <si>
    <t>Total paid up to 30.06.2023</t>
  </si>
  <si>
    <t>Total public expenditure declared to the EC with Payment claims
 as per  30.06.2023</t>
  </si>
  <si>
    <t>Total public expenditure certified to the EC with Annual Accounts 
as per  30.06.2023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</si>
</sst>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-* #,##0.00\ &quot;лв&quot;_-;\-* #,##0.00\ &quot;лв&quot;_-;_-* &quot;-&quot;??\ &quot;лв&quot;_-;_-@_-"/>
    <numFmt numFmtId="165" formatCode="_-* #,##0.00\ _л_в_-;\-* #,##0.00\ _л_в_-;_-* &quot;-&quot;??\ _л_в_-;_-@_-"/>
    <numFmt numFmtId="166" formatCode="_-* #,##0.00\ [$€-1]_-;\-* #,##0.00\ [$€-1]_-;_-* &quot;-&quot;??\ [$€-1]_-;_-@_-"/>
    <numFmt numFmtId="167" formatCode="#,##0.00\ [$€-1];\-#,##0.00\ [$€-1]"/>
    <numFmt numFmtId="168" formatCode="_-* #,##0\ [$€-1]_-;\-* #,##0\ [$€-1]_-;_-* &quot;-&quot;??\ [$€-1]_-;_-@_-"/>
    <numFmt numFmtId="169" formatCode="#,##0.00_ ;\-#,##0.00\ "/>
    <numFmt numFmtId="170" formatCode="_-* #,##0\ [$€-1]_-;\-* #,##0\ [$€-1]_-;_-* &quot;-&quot;\ [$€-1]_-;_-@_-"/>
    <numFmt numFmtId="171" formatCode="_-* #,##0.0000\ _л_в_-;\-* #,##0.0000\ _л_в_-;_-* &quot;-&quot;????\ _л_в_-;_-@_-"/>
    <numFmt numFmtId="172" formatCode="#,##0\ [$€-1];\-#,##0\ [$€-1]"/>
  </numFmts>
  <fonts count="15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1"/>
      <name val="Times New Roman"/>
      <family val="1"/>
      <charset val="204"/>
    </font>
    <font>
      <b/>
      <sz val="11"/>
      <color theme="0" tint="-0.34998626667073579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1"/>
      <color rgb="FF969696"/>
      <name val="Times New Roman"/>
      <family val="1"/>
      <charset val="204"/>
    </font>
    <font>
      <sz val="11"/>
      <color rgb="FF969696"/>
      <name val="Times New Roman"/>
      <family val="1"/>
      <charset val="204"/>
    </font>
    <font>
      <b/>
      <sz val="10"/>
      <name val="Arial"/>
      <family val="2"/>
      <charset val="204"/>
    </font>
    <font>
      <sz val="9"/>
      <name val="Times New Roman"/>
      <family val="1"/>
      <charset val="204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 applyFill="1" applyBorder="1" applyAlignment="1">
      <alignment horizontal="center" vertical="center" wrapText="1"/>
    </xf>
    <xf numFmtId="167" fontId="3" fillId="0" borderId="0" xfId="2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68" fontId="3" fillId="0" borderId="0" xfId="2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171" fontId="4" fillId="0" borderId="0" xfId="0" applyNumberFormat="1" applyFont="1" applyFill="1" applyAlignment="1">
      <alignment horizontal="center" vertical="center"/>
    </xf>
    <xf numFmtId="0" fontId="6" fillId="0" borderId="0" xfId="0" applyFont="1" applyFill="1"/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5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/>
    <xf numFmtId="0" fontId="5" fillId="0" borderId="0" xfId="0" applyFont="1" applyFill="1"/>
    <xf numFmtId="0" fontId="3" fillId="0" borderId="0" xfId="0" applyFont="1" applyFill="1" applyAlignment="1">
      <alignment horizontal="center" vertical="center"/>
    </xf>
    <xf numFmtId="170" fontId="3" fillId="0" borderId="0" xfId="2" applyNumberFormat="1" applyFont="1" applyFill="1" applyBorder="1" applyAlignment="1">
      <alignment horizontal="center" vertical="center" wrapText="1"/>
    </xf>
    <xf numFmtId="166" fontId="5" fillId="0" borderId="0" xfId="0" applyNumberFormat="1" applyFont="1" applyFill="1"/>
    <xf numFmtId="169" fontId="5" fillId="0" borderId="0" xfId="0" applyNumberFormat="1" applyFont="1" applyFill="1"/>
    <xf numFmtId="171" fontId="4" fillId="3" borderId="0" xfId="0" applyNumberFormat="1" applyFont="1" applyFill="1" applyAlignment="1">
      <alignment horizontal="center" vertical="center"/>
    </xf>
    <xf numFmtId="0" fontId="6" fillId="3" borderId="0" xfId="0" applyFont="1" applyFill="1"/>
    <xf numFmtId="0" fontId="3" fillId="2" borderId="2" xfId="0" applyFont="1" applyFill="1" applyBorder="1" applyAlignment="1">
      <alignment horizontal="center" vertical="center" wrapText="1"/>
    </xf>
    <xf numFmtId="168" fontId="4" fillId="0" borderId="0" xfId="2" applyNumberFormat="1" applyFont="1" applyFill="1" applyBorder="1" applyAlignment="1">
      <alignment horizontal="center" vertical="center" wrapText="1"/>
    </xf>
    <xf numFmtId="167" fontId="3" fillId="2" borderId="0" xfId="2" applyNumberFormat="1" applyFont="1" applyFill="1" applyBorder="1" applyAlignment="1">
      <alignment horizontal="center" vertical="center" wrapText="1"/>
    </xf>
    <xf numFmtId="0" fontId="3" fillId="2" borderId="0" xfId="0" applyFont="1" applyFill="1" applyBorder="1"/>
    <xf numFmtId="0" fontId="4" fillId="2" borderId="0" xfId="0" applyFont="1" applyFill="1" applyBorder="1"/>
    <xf numFmtId="0" fontId="3" fillId="2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8" fontId="4" fillId="2" borderId="0" xfId="2" applyNumberFormat="1" applyFont="1" applyFill="1" applyBorder="1" applyAlignment="1">
      <alignment horizontal="center" vertical="center" wrapText="1"/>
    </xf>
    <xf numFmtId="171" fontId="4" fillId="2" borderId="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vertical="center" wrapText="1"/>
    </xf>
    <xf numFmtId="170" fontId="3" fillId="2" borderId="0" xfId="0" applyNumberFormat="1" applyFont="1" applyFill="1" applyBorder="1" applyAlignment="1">
      <alignment horizontal="center" vertical="center"/>
    </xf>
    <xf numFmtId="170" fontId="8" fillId="2" borderId="0" xfId="0" applyNumberFormat="1" applyFont="1" applyFill="1" applyBorder="1" applyAlignment="1">
      <alignment horizontal="center" vertical="center"/>
    </xf>
    <xf numFmtId="170" fontId="8" fillId="0" borderId="0" xfId="0" applyNumberFormat="1" applyFont="1" applyFill="1" applyBorder="1" applyAlignment="1">
      <alignment horizontal="center" vertical="center"/>
    </xf>
    <xf numFmtId="170" fontId="8" fillId="0" borderId="0" xfId="1" applyNumberFormat="1" applyFont="1" applyFill="1" applyBorder="1" applyAlignment="1">
      <alignment horizontal="right" vertical="center"/>
    </xf>
    <xf numFmtId="170" fontId="7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/>
    <xf numFmtId="0" fontId="11" fillId="0" borderId="0" xfId="0" applyFont="1" applyFill="1" applyAlignment="1">
      <alignment horizontal="center" vertical="center"/>
    </xf>
    <xf numFmtId="3" fontId="10" fillId="0" borderId="0" xfId="0" applyNumberFormat="1" applyFont="1" applyFill="1"/>
    <xf numFmtId="0" fontId="10" fillId="0" borderId="0" xfId="0" applyFont="1" applyFill="1"/>
    <xf numFmtId="3" fontId="10" fillId="0" borderId="0" xfId="0" applyNumberFormat="1" applyFont="1" applyFill="1" applyAlignment="1">
      <alignment horizontal="center" vertical="center"/>
    </xf>
    <xf numFmtId="3" fontId="11" fillId="0" borderId="0" xfId="0" applyNumberFormat="1" applyFont="1" applyFill="1"/>
    <xf numFmtId="0" fontId="11" fillId="0" borderId="0" xfId="0" applyFont="1" applyFill="1"/>
    <xf numFmtId="0" fontId="10" fillId="0" borderId="0" xfId="0" applyFont="1" applyFill="1" applyAlignment="1">
      <alignment horizontal="center" vertical="center"/>
    </xf>
    <xf numFmtId="4" fontId="10" fillId="0" borderId="0" xfId="0" applyNumberFormat="1" applyFont="1" applyFill="1"/>
    <xf numFmtId="165" fontId="10" fillId="0" borderId="0" xfId="1" applyFont="1" applyFill="1" applyAlignment="1">
      <alignment horizontal="center" vertical="center"/>
    </xf>
    <xf numFmtId="10" fontId="10" fillId="0" borderId="0" xfId="0" applyNumberFormat="1" applyFont="1" applyFill="1"/>
    <xf numFmtId="3" fontId="10" fillId="2" borderId="0" xfId="0" applyNumberFormat="1" applyFont="1" applyFill="1"/>
    <xf numFmtId="0" fontId="10" fillId="2" borderId="0" xfId="0" applyFont="1" applyFill="1"/>
    <xf numFmtId="0" fontId="10" fillId="2" borderId="0" xfId="0" applyFont="1" applyFill="1" applyAlignment="1">
      <alignment wrapText="1"/>
    </xf>
    <xf numFmtId="0" fontId="10" fillId="4" borderId="0" xfId="0" applyFont="1" applyFill="1"/>
    <xf numFmtId="168" fontId="3" fillId="2" borderId="0" xfId="2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7" fillId="0" borderId="0" xfId="0" applyFont="1" applyFill="1" applyBorder="1" applyAlignment="1">
      <alignment horizontal="center" vertical="center" wrapText="1"/>
    </xf>
    <xf numFmtId="168" fontId="7" fillId="0" borderId="0" xfId="2" applyNumberFormat="1" applyFont="1" applyFill="1" applyBorder="1" applyAlignment="1">
      <alignment horizontal="center" vertical="center" wrapText="1"/>
    </xf>
    <xf numFmtId="168" fontId="7" fillId="2" borderId="0" xfId="2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70" fontId="8" fillId="0" borderId="1" xfId="0" applyNumberFormat="1" applyFont="1" applyFill="1" applyBorder="1" applyAlignment="1">
      <alignment horizontal="center" vertical="center"/>
    </xf>
    <xf numFmtId="170" fontId="8" fillId="0" borderId="1" xfId="1" applyNumberFormat="1" applyFont="1" applyFill="1" applyBorder="1" applyAlignment="1">
      <alignment horizontal="right" vertical="center"/>
    </xf>
    <xf numFmtId="170" fontId="3" fillId="0" borderId="1" xfId="0" applyNumberFormat="1" applyFont="1" applyFill="1" applyBorder="1" applyAlignment="1">
      <alignment horizontal="center" vertical="center"/>
    </xf>
    <xf numFmtId="170" fontId="7" fillId="0" borderId="1" xfId="0" applyNumberFormat="1" applyFont="1" applyFill="1" applyBorder="1" applyAlignment="1">
      <alignment horizontal="center" vertical="center"/>
    </xf>
    <xf numFmtId="3" fontId="8" fillId="0" borderId="1" xfId="1" applyNumberFormat="1" applyFont="1" applyFill="1" applyBorder="1" applyAlignment="1">
      <alignment vertical="center" wrapText="1"/>
    </xf>
    <xf numFmtId="170" fontId="5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center" vertical="center"/>
    </xf>
    <xf numFmtId="172" fontId="1" fillId="0" borderId="1" xfId="1" applyNumberFormat="1" applyFont="1" applyFill="1" applyBorder="1" applyAlignment="1">
      <alignment horizontal="right" vertical="center"/>
    </xf>
    <xf numFmtId="170" fontId="5" fillId="0" borderId="1" xfId="0" applyNumberFormat="1" applyFont="1" applyFill="1" applyBorder="1" applyAlignment="1">
      <alignment vertical="center"/>
    </xf>
    <xf numFmtId="168" fontId="5" fillId="0" borderId="3" xfId="0" applyNumberFormat="1" applyFont="1" applyFill="1" applyBorder="1" applyAlignment="1">
      <alignment vertical="center"/>
    </xf>
    <xf numFmtId="172" fontId="9" fillId="0" borderId="1" xfId="1" applyNumberFormat="1" applyFont="1" applyFill="1" applyBorder="1" applyAlignment="1">
      <alignment horizontal="right" vertical="center"/>
    </xf>
    <xf numFmtId="168" fontId="5" fillId="0" borderId="1" xfId="0" applyNumberFormat="1" applyFont="1" applyFill="1" applyBorder="1" applyAlignment="1">
      <alignment vertical="center"/>
    </xf>
    <xf numFmtId="172" fontId="12" fillId="0" borderId="1" xfId="1" applyNumberFormat="1" applyFont="1" applyFill="1" applyBorder="1" applyAlignment="1">
      <alignment horizontal="right" vertical="center"/>
    </xf>
    <xf numFmtId="168" fontId="3" fillId="0" borderId="3" xfId="0" applyNumberFormat="1" applyFont="1" applyFill="1" applyBorder="1" applyAlignment="1">
      <alignment horizontal="center" vertical="center"/>
    </xf>
    <xf numFmtId="168" fontId="3" fillId="0" borderId="1" xfId="1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</cellXfs>
  <cellStyles count="6">
    <cellStyle name="Comma" xfId="1" builtinId="3"/>
    <cellStyle name="Comma 2" xfId="4"/>
    <cellStyle name="Currency" xfId="2" builtinId="4"/>
    <cellStyle name="Currency 4" xfId="5"/>
    <cellStyle name="Normal" xfId="0" builtinId="0"/>
    <cellStyle name="Normal 3" xfId="3"/>
  </cellStyles>
  <dxfs count="0"/>
  <tableStyles count="0" defaultTableStyle="TableStyleMedium9" defaultPivotStyle="PivotStyleLight16"/>
  <colors>
    <mruColors>
      <color rgb="FF969696"/>
      <color rgb="FFBA8CDC"/>
      <color rgb="FF9E5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5"/>
  <sheetViews>
    <sheetView tabSelected="1" view="pageBreakPreview" zoomScale="85" zoomScaleNormal="90" zoomScaleSheetLayoutView="8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2" sqref="A2:A3"/>
    </sheetView>
  </sheetViews>
  <sheetFormatPr defaultColWidth="9.140625" defaultRowHeight="15" outlineLevelRow="1" x14ac:dyDescent="0.25"/>
  <cols>
    <col min="1" max="1" width="34.7109375" style="13" customWidth="1"/>
    <col min="2" max="2" width="7.85546875" style="5" customWidth="1"/>
    <col min="3" max="3" width="17.5703125" style="5" customWidth="1"/>
    <col min="4" max="4" width="17.85546875" style="5" customWidth="1"/>
    <col min="5" max="5" width="19.7109375" style="5" customWidth="1"/>
    <col min="6" max="6" width="18.140625" style="60" customWidth="1"/>
    <col min="7" max="7" width="19.42578125" style="60" customWidth="1"/>
    <col min="8" max="8" width="16.7109375" style="5" customWidth="1"/>
    <col min="9" max="9" width="17.85546875" style="13" customWidth="1"/>
    <col min="10" max="10" width="16.7109375" style="13" customWidth="1"/>
    <col min="11" max="11" width="17.5703125" style="13" customWidth="1"/>
    <col min="12" max="12" width="19" style="19" customWidth="1"/>
    <col min="13" max="25" width="17.7109375" style="7" customWidth="1"/>
    <col min="26" max="26" width="25.5703125" style="50" customWidth="1"/>
    <col min="27" max="27" width="28.42578125" style="50" customWidth="1"/>
    <col min="28" max="28" width="13.5703125" style="50" customWidth="1"/>
    <col min="29" max="29" width="24.28515625" style="50" customWidth="1"/>
    <col min="30" max="16384" width="9.140625" style="13"/>
  </cols>
  <sheetData>
    <row r="1" spans="1:29" s="9" customFormat="1" ht="11.25" customHeight="1" x14ac:dyDescent="0.2">
      <c r="A1" s="1"/>
      <c r="B1" s="1"/>
      <c r="C1" s="2"/>
      <c r="D1" s="2"/>
      <c r="E1" s="2"/>
      <c r="F1" s="22"/>
      <c r="G1" s="22"/>
      <c r="H1" s="22"/>
      <c r="I1" s="23"/>
      <c r="J1" s="23"/>
      <c r="K1" s="23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44"/>
      <c r="AA1" s="44"/>
      <c r="AB1" s="44"/>
      <c r="AC1" s="44"/>
    </row>
    <row r="2" spans="1:29" s="10" customFormat="1" ht="12.75" customHeight="1" x14ac:dyDescent="0.25">
      <c r="A2" s="88" t="s">
        <v>0</v>
      </c>
      <c r="B2" s="89" t="s">
        <v>1</v>
      </c>
      <c r="C2" s="91" t="s">
        <v>2</v>
      </c>
      <c r="D2" s="91" t="s">
        <v>3</v>
      </c>
      <c r="E2" s="91" t="s">
        <v>4</v>
      </c>
      <c r="F2" s="84" t="s">
        <v>24</v>
      </c>
      <c r="G2" s="84" t="s">
        <v>25</v>
      </c>
      <c r="H2" s="84" t="s">
        <v>26</v>
      </c>
      <c r="I2" s="93" t="s">
        <v>27</v>
      </c>
      <c r="J2" s="94"/>
      <c r="K2" s="84" t="s">
        <v>28</v>
      </c>
      <c r="L2" s="82" t="s">
        <v>29</v>
      </c>
      <c r="M2" s="82" t="s">
        <v>30</v>
      </c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45"/>
      <c r="AA2" s="45"/>
      <c r="AB2" s="45"/>
      <c r="AC2" s="45"/>
    </row>
    <row r="3" spans="1:29" s="10" customFormat="1" ht="75" customHeight="1" x14ac:dyDescent="0.25">
      <c r="A3" s="88"/>
      <c r="B3" s="90"/>
      <c r="C3" s="92"/>
      <c r="D3" s="92"/>
      <c r="E3" s="92"/>
      <c r="F3" s="95"/>
      <c r="G3" s="95"/>
      <c r="H3" s="95"/>
      <c r="I3" s="34" t="s">
        <v>5</v>
      </c>
      <c r="J3" s="35" t="s">
        <v>6</v>
      </c>
      <c r="K3" s="85"/>
      <c r="L3" s="83"/>
      <c r="M3" s="83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45"/>
      <c r="AA3" s="45"/>
      <c r="AB3" s="45"/>
      <c r="AC3" s="45"/>
    </row>
    <row r="4" spans="1:29" s="10" customFormat="1" ht="18.75" customHeight="1" x14ac:dyDescent="0.2">
      <c r="A4" s="11">
        <v>1</v>
      </c>
      <c r="B4" s="3">
        <v>2</v>
      </c>
      <c r="C4" s="8">
        <v>3</v>
      </c>
      <c r="D4" s="3">
        <v>4</v>
      </c>
      <c r="E4" s="3">
        <v>5</v>
      </c>
      <c r="F4" s="25">
        <v>6</v>
      </c>
      <c r="G4" s="25">
        <v>7</v>
      </c>
      <c r="H4" s="25">
        <v>8</v>
      </c>
      <c r="I4" s="25">
        <v>9</v>
      </c>
      <c r="J4" s="25">
        <v>10</v>
      </c>
      <c r="K4" s="64">
        <v>11</v>
      </c>
      <c r="L4" s="64">
        <v>12</v>
      </c>
      <c r="M4" s="20">
        <v>13</v>
      </c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45"/>
      <c r="AA4" s="45"/>
      <c r="AB4" s="45"/>
      <c r="AC4" s="45"/>
    </row>
    <row r="5" spans="1:29" s="12" customFormat="1" ht="29.25" customHeight="1" x14ac:dyDescent="0.2">
      <c r="A5" s="29" t="s">
        <v>7</v>
      </c>
      <c r="B5" s="26" t="s">
        <v>8</v>
      </c>
      <c r="C5" s="67">
        <f>C6+C7</f>
        <v>1520755090</v>
      </c>
      <c r="D5" s="67">
        <f>D6+D7</f>
        <v>268368549</v>
      </c>
      <c r="E5" s="67">
        <f>E6+E7</f>
        <v>1789123639</v>
      </c>
      <c r="F5" s="67">
        <f t="shared" ref="F5:M5" si="0">F6+F7</f>
        <v>185179115.40000001</v>
      </c>
      <c r="G5" s="67">
        <f t="shared" si="0"/>
        <v>868053341.9799999</v>
      </c>
      <c r="H5" s="67">
        <f t="shared" si="0"/>
        <v>1053232457.3799999</v>
      </c>
      <c r="I5" s="68">
        <f>+I6+I7</f>
        <v>1079887598.5346453</v>
      </c>
      <c r="J5" s="68">
        <f>+J6+J7</f>
        <v>190568399.74140802</v>
      </c>
      <c r="K5" s="67">
        <f>K6+K7</f>
        <v>1270455998.2760534</v>
      </c>
      <c r="L5" s="68">
        <f>L6+L7</f>
        <v>1126937190.9213424</v>
      </c>
      <c r="M5" s="67">
        <f t="shared" si="0"/>
        <v>993012301.25999999</v>
      </c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46"/>
      <c r="AA5" s="46">
        <f>+AA6+AA7</f>
        <v>2484795955.1082535</v>
      </c>
      <c r="AB5" s="47">
        <v>1461442349.48</v>
      </c>
      <c r="AC5" s="48">
        <f>+AA5-AB5</f>
        <v>1023353605.6282535</v>
      </c>
    </row>
    <row r="6" spans="1:29" ht="29.25" customHeight="1" outlineLevel="1" x14ac:dyDescent="0.25">
      <c r="A6" s="30" t="s">
        <v>9</v>
      </c>
      <c r="B6" s="31" t="s">
        <v>8</v>
      </c>
      <c r="C6" s="69">
        <v>438611756</v>
      </c>
      <c r="D6" s="69">
        <v>77402076</v>
      </c>
      <c r="E6" s="65">
        <f>+C6+D6</f>
        <v>516013832</v>
      </c>
      <c r="F6" s="70">
        <v>65162124.003750004</v>
      </c>
      <c r="G6" s="65">
        <v>364939930.27999991</v>
      </c>
      <c r="H6" s="65">
        <f>F6+G6</f>
        <v>430102054.28374994</v>
      </c>
      <c r="I6" s="70">
        <v>411719035.09219688</v>
      </c>
      <c r="J6" s="71">
        <v>72656300.310387686</v>
      </c>
      <c r="K6" s="65">
        <f>+I6+J6</f>
        <v>484375335.40258455</v>
      </c>
      <c r="L6" s="65">
        <f>477609243.442335-2378.41/1.9558+1490687.54/1.9558</f>
        <v>478370215.48957908</v>
      </c>
      <c r="M6" s="65">
        <v>471380477.5</v>
      </c>
      <c r="N6" s="40"/>
      <c r="O6" s="39"/>
      <c r="P6" s="40"/>
      <c r="Q6" s="40"/>
      <c r="R6" s="40"/>
      <c r="S6" s="40"/>
      <c r="T6" s="40"/>
      <c r="U6" s="40"/>
      <c r="V6" s="40"/>
      <c r="W6" s="40"/>
      <c r="X6" s="40"/>
      <c r="Y6" s="40"/>
      <c r="Z6" s="46">
        <f>+K6*1.9558</f>
        <v>947341280.98037481</v>
      </c>
      <c r="AA6" s="49">
        <f>+K6*1.95583</f>
        <v>947355812.24043691</v>
      </c>
    </row>
    <row r="7" spans="1:29" ht="29.25" customHeight="1" outlineLevel="1" x14ac:dyDescent="0.25">
      <c r="A7" s="30" t="s">
        <v>10</v>
      </c>
      <c r="B7" s="31" t="s">
        <v>8</v>
      </c>
      <c r="C7" s="69">
        <v>1082143334</v>
      </c>
      <c r="D7" s="69">
        <v>190966473</v>
      </c>
      <c r="E7" s="65">
        <f>+C7+D7</f>
        <v>1273109807</v>
      </c>
      <c r="F7" s="70">
        <v>120016991.39624999</v>
      </c>
      <c r="G7" s="65">
        <v>503113411.69999999</v>
      </c>
      <c r="H7" s="65">
        <f>F7+G7</f>
        <v>623130403.09624994</v>
      </c>
      <c r="I7" s="70">
        <v>668168563.4424485</v>
      </c>
      <c r="J7" s="71">
        <v>117912099.43102033</v>
      </c>
      <c r="K7" s="65">
        <f>+I7+J7</f>
        <v>786080662.87346888</v>
      </c>
      <c r="L7" s="65">
        <f>647654505.792741-1172981.32/1.9558+2957589.44/1.9558</f>
        <v>648566975.43176329</v>
      </c>
      <c r="M7" s="65">
        <v>521631823.75999999</v>
      </c>
      <c r="N7" s="40"/>
      <c r="O7" s="39"/>
      <c r="P7" s="40"/>
      <c r="Q7" s="40"/>
      <c r="R7" s="40"/>
      <c r="S7" s="40"/>
      <c r="T7" s="40"/>
      <c r="U7" s="40"/>
      <c r="V7" s="40"/>
      <c r="W7" s="40"/>
      <c r="X7" s="40"/>
      <c r="Y7" s="40"/>
      <c r="Z7" s="46">
        <f t="shared" ref="Z7:Z19" si="1">+K7*1.9558</f>
        <v>1537416560.4479303</v>
      </c>
      <c r="AA7" s="49">
        <f t="shared" ref="AA7:AA19" si="2">+K7*1.95583</f>
        <v>1537440142.8678167</v>
      </c>
    </row>
    <row r="8" spans="1:29" s="12" customFormat="1" ht="29.25" customHeight="1" x14ac:dyDescent="0.2">
      <c r="A8" s="29" t="s">
        <v>11</v>
      </c>
      <c r="B8" s="26" t="s">
        <v>8</v>
      </c>
      <c r="C8" s="67">
        <f>C9+C10</f>
        <v>1474466160</v>
      </c>
      <c r="D8" s="67">
        <f t="shared" ref="D8:K8" si="3">D9+D10</f>
        <v>260199914</v>
      </c>
      <c r="E8" s="67">
        <f>E9+E10</f>
        <v>1734666074</v>
      </c>
      <c r="F8" s="67">
        <f t="shared" si="3"/>
        <v>158146291.68124998</v>
      </c>
      <c r="G8" s="67">
        <f t="shared" si="3"/>
        <v>760830764.75</v>
      </c>
      <c r="H8" s="67">
        <f>H9+H10</f>
        <v>918977056.4312501</v>
      </c>
      <c r="I8" s="68">
        <f>+I9+I10</f>
        <v>992234950.42887437</v>
      </c>
      <c r="J8" s="68">
        <f>+J9+J10</f>
        <v>175100285.36980134</v>
      </c>
      <c r="K8" s="67">
        <f t="shared" si="3"/>
        <v>1167335235.7986758</v>
      </c>
      <c r="L8" s="68">
        <f>L9+L10</f>
        <v>960418673.52040541</v>
      </c>
      <c r="M8" s="67">
        <f>M9+M10</f>
        <v>785579840.74000001</v>
      </c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46">
        <f t="shared" si="1"/>
        <v>2283074254.1750503</v>
      </c>
      <c r="AA8" s="46">
        <f t="shared" si="2"/>
        <v>2283109274.2321239</v>
      </c>
      <c r="AB8" s="47">
        <v>942880842.37</v>
      </c>
      <c r="AC8" s="48">
        <f>+AA8-AB8</f>
        <v>1340228431.862124</v>
      </c>
    </row>
    <row r="9" spans="1:29" ht="29.25" customHeight="1" outlineLevel="1" x14ac:dyDescent="0.25">
      <c r="A9" s="30" t="s">
        <v>9</v>
      </c>
      <c r="B9" s="31" t="s">
        <v>8</v>
      </c>
      <c r="C9" s="69">
        <v>349712078</v>
      </c>
      <c r="D9" s="69">
        <v>61713898</v>
      </c>
      <c r="E9" s="65">
        <f>+C9+D9</f>
        <v>411425976</v>
      </c>
      <c r="F9" s="70">
        <v>36031153.328749999</v>
      </c>
      <c r="G9" s="65">
        <v>183726894.56</v>
      </c>
      <c r="H9" s="65">
        <f>F9+G9</f>
        <v>219758047.88875002</v>
      </c>
      <c r="I9" s="70">
        <v>218919478.1863246</v>
      </c>
      <c r="J9" s="71">
        <v>38632849.091704339</v>
      </c>
      <c r="K9" s="65">
        <f>I9+J9</f>
        <v>257552327.27802894</v>
      </c>
      <c r="L9" s="65">
        <f>204560617.590967-2059817.82/1.9558+8497076.29/1.9558</f>
        <v>207851986.06933904</v>
      </c>
      <c r="M9" s="65">
        <v>158566903.72</v>
      </c>
      <c r="N9" s="41"/>
      <c r="O9" s="39"/>
      <c r="P9" s="41"/>
      <c r="Q9" s="41"/>
      <c r="R9" s="41"/>
      <c r="S9" s="41"/>
      <c r="T9" s="41"/>
      <c r="U9" s="41"/>
      <c r="V9" s="41"/>
      <c r="W9" s="41"/>
      <c r="X9" s="41"/>
      <c r="Y9" s="41"/>
      <c r="Z9" s="46">
        <f t="shared" si="1"/>
        <v>503720841.69036901</v>
      </c>
      <c r="AA9" s="49">
        <f t="shared" si="2"/>
        <v>503728568.26018733</v>
      </c>
      <c r="AB9" s="49"/>
    </row>
    <row r="10" spans="1:29" ht="29.25" customHeight="1" outlineLevel="1" x14ac:dyDescent="0.25">
      <c r="A10" s="30" t="s">
        <v>10</v>
      </c>
      <c r="B10" s="31" t="s">
        <v>8</v>
      </c>
      <c r="C10" s="69">
        <v>1124754082</v>
      </c>
      <c r="D10" s="69">
        <v>198486016</v>
      </c>
      <c r="E10" s="65">
        <f>+C10+D10</f>
        <v>1323240098</v>
      </c>
      <c r="F10" s="70">
        <v>122115138.35249999</v>
      </c>
      <c r="G10" s="72">
        <v>577103870.19000006</v>
      </c>
      <c r="H10" s="65">
        <f>F10+G10</f>
        <v>699219008.54250002</v>
      </c>
      <c r="I10" s="70">
        <v>773315472.24254978</v>
      </c>
      <c r="J10" s="71">
        <v>136467436.278097</v>
      </c>
      <c r="K10" s="65">
        <f>I10+J10</f>
        <v>909782908.52064681</v>
      </c>
      <c r="L10" s="65">
        <f>745716493.755392-5172507.32/1.9558+18570116.15/1.9558</f>
        <v>752566687.45106637</v>
      </c>
      <c r="M10" s="65">
        <v>627012937.01999998</v>
      </c>
      <c r="N10" s="41"/>
      <c r="O10" s="39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6">
        <f t="shared" si="1"/>
        <v>1779353412.4846811</v>
      </c>
      <c r="AA10" s="49">
        <f t="shared" si="2"/>
        <v>1779380705.9719367</v>
      </c>
      <c r="AB10" s="49"/>
    </row>
    <row r="11" spans="1:29" s="12" customFormat="1" ht="29.25" customHeight="1" x14ac:dyDescent="0.25">
      <c r="A11" s="29" t="s">
        <v>12</v>
      </c>
      <c r="B11" s="26" t="s">
        <v>8</v>
      </c>
      <c r="C11" s="67">
        <f>C12+C13</f>
        <v>595110177</v>
      </c>
      <c r="D11" s="67">
        <f t="shared" ref="D11:M11" si="4">D12+D13</f>
        <v>95133839</v>
      </c>
      <c r="E11" s="67">
        <f t="shared" si="4"/>
        <v>690244016</v>
      </c>
      <c r="F11" s="67">
        <f t="shared" si="4"/>
        <v>80906468.957500011</v>
      </c>
      <c r="G11" s="67">
        <f t="shared" si="4"/>
        <v>380339804.6500001</v>
      </c>
      <c r="H11" s="67">
        <f t="shared" si="4"/>
        <v>461246273.60750008</v>
      </c>
      <c r="I11" s="68">
        <f>+I12+I13</f>
        <v>514875721.76529503</v>
      </c>
      <c r="J11" s="68">
        <f>+J12+J13</f>
        <v>84007433.783500001</v>
      </c>
      <c r="K11" s="67">
        <f t="shared" si="4"/>
        <v>598883155.54879498</v>
      </c>
      <c r="L11" s="68">
        <f>L12+L13</f>
        <v>490135236.00786972</v>
      </c>
      <c r="M11" s="67">
        <f t="shared" si="4"/>
        <v>408661739.31999999</v>
      </c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46">
        <f t="shared" si="1"/>
        <v>1171295675.6223333</v>
      </c>
      <c r="AA11" s="46">
        <f t="shared" si="2"/>
        <v>1171313642.1169996</v>
      </c>
      <c r="AB11" s="49">
        <v>508734585.13999999</v>
      </c>
      <c r="AC11" s="48">
        <f>+AA11-AB11</f>
        <v>662579056.97699964</v>
      </c>
    </row>
    <row r="12" spans="1:29" s="14" customFormat="1" ht="29.25" customHeight="1" x14ac:dyDescent="0.25">
      <c r="A12" s="30" t="s">
        <v>13</v>
      </c>
      <c r="B12" s="31" t="s">
        <v>8</v>
      </c>
      <c r="C12" s="69">
        <v>186989211</v>
      </c>
      <c r="D12" s="69">
        <v>32998097</v>
      </c>
      <c r="E12" s="65">
        <f>+C12+D12</f>
        <v>219987308</v>
      </c>
      <c r="F12" s="65">
        <v>22900579.047499999</v>
      </c>
      <c r="G12" s="72">
        <v>88885770.979999989</v>
      </c>
      <c r="H12" s="65">
        <f t="shared" ref="H12:H19" si="5">F12+G12</f>
        <v>111786350.02749999</v>
      </c>
      <c r="I12" s="73">
        <v>135121451.46650001</v>
      </c>
      <c r="J12" s="74">
        <v>23844962.023499999</v>
      </c>
      <c r="K12" s="65">
        <f t="shared" ref="K12:K18" si="6">I12+J12</f>
        <v>158966413.49000001</v>
      </c>
      <c r="L12" s="66">
        <f>107546393.822339-786940.5/1.9558+8556846.49/1.9558+6445736.97/1.9558</f>
        <v>114814848.14282167</v>
      </c>
      <c r="M12" s="66">
        <v>93493944.829999998</v>
      </c>
      <c r="N12" s="42"/>
      <c r="O12" s="39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6">
        <f t="shared" si="1"/>
        <v>310906511.50374204</v>
      </c>
      <c r="AA12" s="49">
        <f t="shared" si="2"/>
        <v>310911280.49614674</v>
      </c>
      <c r="AB12" s="49"/>
      <c r="AC12" s="51"/>
    </row>
    <row r="13" spans="1:29" s="12" customFormat="1" ht="29.25" customHeight="1" x14ac:dyDescent="0.25">
      <c r="A13" s="30" t="s">
        <v>14</v>
      </c>
      <c r="B13" s="31" t="s">
        <v>8</v>
      </c>
      <c r="C13" s="69">
        <f>352102522+56018444</f>
        <v>408120966</v>
      </c>
      <c r="D13" s="69">
        <v>62135742</v>
      </c>
      <c r="E13" s="65">
        <f t="shared" ref="E13:E19" si="7">+C13+D13</f>
        <v>470256708</v>
      </c>
      <c r="F13" s="65">
        <v>58005889.910000004</v>
      </c>
      <c r="G13" s="75">
        <v>291454033.67000008</v>
      </c>
      <c r="H13" s="65">
        <f t="shared" si="5"/>
        <v>349459923.5800001</v>
      </c>
      <c r="I13" s="73">
        <f>340920673.298795+38833597</f>
        <v>379754270.29879498</v>
      </c>
      <c r="J13" s="76">
        <v>60162471.759999998</v>
      </c>
      <c r="K13" s="65">
        <f>I13+J13</f>
        <v>439916742.05879498</v>
      </c>
      <c r="L13" s="65">
        <f>360184717.433511-20340.5/1.9558-16346.1/1.9558+17640663.85/1.9558+11998366.98/1.9558</f>
        <v>375320387.86504805</v>
      </c>
      <c r="M13" s="65">
        <v>315167794.49000001</v>
      </c>
      <c r="N13" s="41"/>
      <c r="O13" s="39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6">
        <f t="shared" si="1"/>
        <v>860389164.11859119</v>
      </c>
      <c r="AA13" s="49">
        <f t="shared" si="2"/>
        <v>860402361.62085295</v>
      </c>
      <c r="AB13" s="49"/>
      <c r="AC13" s="52"/>
    </row>
    <row r="14" spans="1:29" s="14" customFormat="1" ht="29.25" customHeight="1" x14ac:dyDescent="0.25">
      <c r="A14" s="29" t="s">
        <v>15</v>
      </c>
      <c r="B14" s="26" t="s">
        <v>8</v>
      </c>
      <c r="C14" s="68">
        <f>1311704793+66095345</f>
        <v>1377800138</v>
      </c>
      <c r="D14" s="68">
        <v>231477320</v>
      </c>
      <c r="E14" s="67">
        <f t="shared" si="7"/>
        <v>1609277458</v>
      </c>
      <c r="F14" s="77">
        <v>182673768.41625002</v>
      </c>
      <c r="G14" s="68">
        <v>771573341.10000026</v>
      </c>
      <c r="H14" s="68">
        <f t="shared" si="5"/>
        <v>954247109.51625025</v>
      </c>
      <c r="I14" s="67">
        <f>1054982352.4657+23405960.7839127</f>
        <v>1078388313.2496128</v>
      </c>
      <c r="J14" s="78">
        <v>186173356.3174766</v>
      </c>
      <c r="K14" s="68">
        <f t="shared" si="6"/>
        <v>1264561669.5670893</v>
      </c>
      <c r="L14" s="68">
        <f>967695569.169556+15138838.17/1.9558-2402850.3/1.9558-2743.54/1.9558+25217716.69/1.9558+26840232.12/1.9558</f>
        <v>1000823288.3330697</v>
      </c>
      <c r="M14" s="68">
        <v>924831926.42999995</v>
      </c>
      <c r="N14" s="43"/>
      <c r="O14" s="39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6">
        <f t="shared" si="1"/>
        <v>2473229713.3393135</v>
      </c>
      <c r="AA14" s="46">
        <f t="shared" si="2"/>
        <v>2473267650.1894002</v>
      </c>
      <c r="AB14" s="49">
        <v>1591964903.49</v>
      </c>
      <c r="AC14" s="48">
        <f>+AA14-AB14</f>
        <v>881302746.69940019</v>
      </c>
    </row>
    <row r="15" spans="1:29" s="14" customFormat="1" ht="29.25" customHeight="1" x14ac:dyDescent="0.25">
      <c r="A15" s="32" t="s">
        <v>16</v>
      </c>
      <c r="B15" s="26" t="s">
        <v>8</v>
      </c>
      <c r="C15" s="68">
        <f>996896918+173640925+36375789</f>
        <v>1206913632</v>
      </c>
      <c r="D15" s="68">
        <v>164909543</v>
      </c>
      <c r="E15" s="68">
        <f>+C15+D15</f>
        <v>1371823175</v>
      </c>
      <c r="F15" s="68">
        <v>213668743.45000002</v>
      </c>
      <c r="G15" s="68">
        <v>898637077.55999994</v>
      </c>
      <c r="H15" s="68">
        <f t="shared" si="5"/>
        <v>1112305821.01</v>
      </c>
      <c r="I15" s="79">
        <v>1095031412.6799755</v>
      </c>
      <c r="J15" s="79">
        <v>152351965.98248038</v>
      </c>
      <c r="K15" s="68">
        <f t="shared" si="6"/>
        <v>1247383378.6624558</v>
      </c>
      <c r="L15" s="68">
        <f>1117502500.59107+82251884.29/1.9558-435626.68/1.9558+18166372.34/1.9558+62371629.32/1.9558</f>
        <v>1200514188.5295098</v>
      </c>
      <c r="M15" s="68">
        <v>1069359136.97</v>
      </c>
      <c r="N15" s="43"/>
      <c r="O15" s="39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6">
        <f t="shared" si="1"/>
        <v>2439632411.9880309</v>
      </c>
      <c r="AA15" s="46">
        <f t="shared" si="2"/>
        <v>2439669833.4893909</v>
      </c>
      <c r="AB15" s="49">
        <v>1226822694.46</v>
      </c>
      <c r="AC15" s="48">
        <f>+AA15-AB15</f>
        <v>1212847139.0293908</v>
      </c>
    </row>
    <row r="16" spans="1:29" s="14" customFormat="1" ht="43.5" customHeight="1" x14ac:dyDescent="0.25">
      <c r="A16" s="29" t="s">
        <v>22</v>
      </c>
      <c r="B16" s="31" t="s">
        <v>8</v>
      </c>
      <c r="C16" s="68">
        <f>1428375935+15000000</f>
        <v>1443375935</v>
      </c>
      <c r="D16" s="68">
        <f>218481923+1</f>
        <v>218481924</v>
      </c>
      <c r="E16" s="68">
        <f t="shared" si="7"/>
        <v>1661857859</v>
      </c>
      <c r="F16" s="68">
        <v>222667669.54624999</v>
      </c>
      <c r="G16" s="68">
        <v>1061474174.5399997</v>
      </c>
      <c r="H16" s="68">
        <f>F16+G16</f>
        <v>1284141844.0862498</v>
      </c>
      <c r="I16" s="67">
        <f>1132807295.54999+88837978.9296616+30246915.1204348</f>
        <v>1251892189.6000862</v>
      </c>
      <c r="J16" s="78">
        <v>199907169.80293855</v>
      </c>
      <c r="K16" s="68">
        <f>I16+J16</f>
        <v>1451799359.4030247</v>
      </c>
      <c r="L16" s="68">
        <f>1332505528.62955-3397233.47/1.9558+6211503.72/1.9558+7875923.01/1.9558</f>
        <v>1337971421.4918058</v>
      </c>
      <c r="M16" s="68">
        <v>1277276995.76</v>
      </c>
      <c r="N16" s="43"/>
      <c r="O16" s="39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6">
        <f t="shared" si="1"/>
        <v>2839429187.1204357</v>
      </c>
      <c r="AA16" s="46">
        <f t="shared" si="2"/>
        <v>2839472741.1012177</v>
      </c>
      <c r="AB16" s="49">
        <v>1216935553</v>
      </c>
      <c r="AC16" s="48">
        <f>+AA16-AB16</f>
        <v>1622537188.1012177</v>
      </c>
    </row>
    <row r="17" spans="1:29" s="14" customFormat="1" ht="29.25" customHeight="1" x14ac:dyDescent="0.25">
      <c r="A17" s="33" t="s">
        <v>17</v>
      </c>
      <c r="B17" s="31" t="s">
        <v>8</v>
      </c>
      <c r="C17" s="68">
        <v>102000000</v>
      </c>
      <c r="D17" s="68">
        <v>0</v>
      </c>
      <c r="E17" s="68">
        <f t="shared" si="7"/>
        <v>102000000</v>
      </c>
      <c r="F17" s="68">
        <v>6502500</v>
      </c>
      <c r="G17" s="68">
        <v>95497500</v>
      </c>
      <c r="H17" s="68">
        <f t="shared" si="5"/>
        <v>102000000</v>
      </c>
      <c r="I17" s="67">
        <v>102000000</v>
      </c>
      <c r="J17" s="78">
        <v>0</v>
      </c>
      <c r="K17" s="68">
        <f t="shared" si="6"/>
        <v>102000000</v>
      </c>
      <c r="L17" s="68">
        <f>102001564.57</f>
        <v>102001564.56999999</v>
      </c>
      <c r="M17" s="68">
        <v>102001564.57460579</v>
      </c>
      <c r="N17" s="43"/>
      <c r="O17" s="39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6">
        <f t="shared" si="1"/>
        <v>199491600</v>
      </c>
      <c r="AA17" s="46">
        <f t="shared" si="2"/>
        <v>199494660</v>
      </c>
      <c r="AB17" s="49"/>
      <c r="AC17" s="51"/>
    </row>
    <row r="18" spans="1:29" s="14" customFormat="1" ht="29.25" customHeight="1" x14ac:dyDescent="0.25">
      <c r="A18" s="29" t="s">
        <v>18</v>
      </c>
      <c r="B18" s="26" t="s">
        <v>8</v>
      </c>
      <c r="C18" s="68">
        <v>238398862</v>
      </c>
      <c r="D18" s="68">
        <v>42070389</v>
      </c>
      <c r="E18" s="68">
        <f t="shared" si="7"/>
        <v>280469251</v>
      </c>
      <c r="F18" s="68">
        <v>27968047.555</v>
      </c>
      <c r="G18" s="68">
        <v>163185499.76000002</v>
      </c>
      <c r="H18" s="68">
        <f t="shared" si="5"/>
        <v>191153547.31500003</v>
      </c>
      <c r="I18" s="67">
        <v>193079418.36620012</v>
      </c>
      <c r="J18" s="78">
        <v>34072838.535211779</v>
      </c>
      <c r="K18" s="68">
        <f t="shared" si="6"/>
        <v>227152256.90141189</v>
      </c>
      <c r="L18" s="68">
        <f>205642205.901344+8397116.92/1.9558-625400.94/1.9558+5434747.07/1.9558+6633566.45/1.9558</f>
        <v>215786407.50682515</v>
      </c>
      <c r="M18" s="68">
        <v>167880273.15000001</v>
      </c>
      <c r="N18" s="43"/>
      <c r="O18" s="39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6">
        <f t="shared" si="1"/>
        <v>444264384.04778135</v>
      </c>
      <c r="AA18" s="46">
        <f t="shared" si="2"/>
        <v>444271198.61548841</v>
      </c>
      <c r="AB18" s="49">
        <v>184210896</v>
      </c>
      <c r="AC18" s="48">
        <f>+AA18-AB18</f>
        <v>260060302.61548841</v>
      </c>
    </row>
    <row r="19" spans="1:29" s="14" customFormat="1" ht="29.25" customHeight="1" x14ac:dyDescent="0.25">
      <c r="A19" s="29" t="s">
        <v>19</v>
      </c>
      <c r="B19" s="26" t="s">
        <v>8</v>
      </c>
      <c r="C19" s="68">
        <f>104815264+19940383+18624211</f>
        <v>143379858</v>
      </c>
      <c r="D19" s="68">
        <v>18496812</v>
      </c>
      <c r="E19" s="68">
        <f t="shared" si="7"/>
        <v>161876670</v>
      </c>
      <c r="F19" s="68">
        <v>13723121.170000002</v>
      </c>
      <c r="G19" s="68">
        <v>129656736.82999995</v>
      </c>
      <c r="H19" s="68">
        <f t="shared" si="5"/>
        <v>143379857.99999994</v>
      </c>
      <c r="I19" s="67">
        <f>105838571.607116+35710296.7129045</f>
        <v>141548868.3200205</v>
      </c>
      <c r="J19" s="78">
        <v>18677394.989490975</v>
      </c>
      <c r="K19" s="68">
        <f>I19+J19</f>
        <v>160226263.30951148</v>
      </c>
      <c r="L19" s="68">
        <f>154698959.110356+9610218.9/1.9558-186144.28/1.9558</f>
        <v>159517485.86155757</v>
      </c>
      <c r="M19" s="68">
        <v>143075804.25999999</v>
      </c>
      <c r="N19" s="43"/>
      <c r="O19" s="39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6">
        <f t="shared" si="1"/>
        <v>313370525.78074253</v>
      </c>
      <c r="AA19" s="46">
        <f t="shared" si="2"/>
        <v>313375332.56864184</v>
      </c>
      <c r="AB19" s="49">
        <v>192103600.88</v>
      </c>
      <c r="AC19" s="53">
        <f>+AA19-AB19</f>
        <v>121271731.68864185</v>
      </c>
    </row>
    <row r="20" spans="1:29" s="12" customFormat="1" ht="29.25" customHeight="1" x14ac:dyDescent="0.25">
      <c r="A20" s="86" t="s">
        <v>20</v>
      </c>
      <c r="B20" s="87"/>
      <c r="C20" s="67">
        <f>+C5+C8+C11+C14+C15+C16+C17+C18+C19</f>
        <v>8102199852</v>
      </c>
      <c r="D20" s="67">
        <f>+D5+D8+D11+D14+D15+D16+D17+D18+D19</f>
        <v>1299138290</v>
      </c>
      <c r="E20" s="67">
        <f>+C20+D20</f>
        <v>9401338142</v>
      </c>
      <c r="F20" s="67">
        <f t="shared" ref="F20:M20" si="8">+F5+F8+F11+F14+F15+F16+F17+F18+F19</f>
        <v>1091435726.17625</v>
      </c>
      <c r="G20" s="67">
        <f t="shared" si="8"/>
        <v>5129248241.1700001</v>
      </c>
      <c r="H20" s="67">
        <f t="shared" si="8"/>
        <v>6220683967.3462496</v>
      </c>
      <c r="I20" s="68">
        <f t="shared" si="8"/>
        <v>6448938472.9447107</v>
      </c>
      <c r="J20" s="68">
        <f t="shared" si="8"/>
        <v>1040858844.5223078</v>
      </c>
      <c r="K20" s="68">
        <f t="shared" si="8"/>
        <v>7489797317.4670162</v>
      </c>
      <c r="L20" s="67">
        <f>+L5+L8+L11+L14+L15+L16+L17+L18+L19</f>
        <v>6594105456.7423859</v>
      </c>
      <c r="M20" s="67">
        <f t="shared" si="8"/>
        <v>5871679582.4646063</v>
      </c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54"/>
      <c r="AA20" s="55"/>
      <c r="AB20" s="50"/>
      <c r="AC20" s="47"/>
    </row>
    <row r="21" spans="1:29" s="12" customFormat="1" ht="29.25" customHeight="1" x14ac:dyDescent="0.2">
      <c r="A21" s="80" t="s">
        <v>23</v>
      </c>
      <c r="B21" s="81"/>
      <c r="C21" s="81"/>
      <c r="D21" s="81"/>
      <c r="E21" s="81"/>
      <c r="F21" s="81"/>
      <c r="G21" s="81"/>
      <c r="H21" s="21" t="s">
        <v>21</v>
      </c>
      <c r="I21" s="21"/>
      <c r="J21" s="21"/>
      <c r="K21" s="21"/>
      <c r="L21" s="21"/>
      <c r="M21" s="21"/>
      <c r="N21" s="27"/>
      <c r="O21" s="39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54"/>
      <c r="AA21" s="56"/>
      <c r="AB21" s="47"/>
      <c r="AC21" s="47"/>
    </row>
    <row r="22" spans="1:29" s="12" customFormat="1" ht="29.25" customHeight="1" x14ac:dyDescent="0.2">
      <c r="A22" s="61"/>
      <c r="B22" s="61"/>
      <c r="C22" s="62"/>
      <c r="D22" s="62"/>
      <c r="E22" s="62"/>
      <c r="F22" s="63"/>
      <c r="G22" s="63"/>
      <c r="H22" s="62"/>
      <c r="I22" s="62"/>
      <c r="J22" s="62"/>
      <c r="K22" s="62"/>
      <c r="L22" s="62"/>
      <c r="M22" s="62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54"/>
      <c r="AA22" s="57"/>
      <c r="AB22" s="47"/>
      <c r="AC22" s="47"/>
    </row>
    <row r="23" spans="1:29" s="12" customFormat="1" ht="29.25" customHeight="1" x14ac:dyDescent="0.2">
      <c r="A23" s="1"/>
      <c r="B23" s="1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47"/>
      <c r="AA23" s="56"/>
      <c r="AB23" s="47"/>
      <c r="AC23" s="47"/>
    </row>
    <row r="24" spans="1:29" s="12" customFormat="1" ht="29.25" customHeight="1" x14ac:dyDescent="0.2">
      <c r="A24" s="1"/>
      <c r="B24" s="1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47"/>
      <c r="AA24" s="56"/>
      <c r="AB24" s="47"/>
      <c r="AC24" s="47"/>
    </row>
    <row r="25" spans="1:29" s="12" customFormat="1" ht="29.25" customHeight="1" x14ac:dyDescent="0.2">
      <c r="A25" s="1"/>
      <c r="B25" s="1"/>
      <c r="C25" s="4"/>
      <c r="D25" s="4"/>
      <c r="E25" s="4"/>
      <c r="F25" s="59"/>
      <c r="G25" s="27"/>
      <c r="H25" s="4"/>
      <c r="I25" s="15"/>
      <c r="J25" s="4"/>
      <c r="K25" s="4"/>
      <c r="L25" s="18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47"/>
      <c r="AA25" s="56"/>
      <c r="AB25" s="47"/>
      <c r="AC25" s="47"/>
    </row>
    <row r="26" spans="1:29" s="12" customFormat="1" ht="29.25" customHeight="1" x14ac:dyDescent="0.2">
      <c r="A26" s="1"/>
      <c r="B26" s="1"/>
      <c r="C26" s="4"/>
      <c r="D26" s="4"/>
      <c r="E26" s="4"/>
      <c r="F26" s="59"/>
      <c r="G26" s="59"/>
      <c r="H26" s="4"/>
      <c r="I26" s="15"/>
      <c r="J26" s="4"/>
      <c r="K26" s="4"/>
      <c r="L26" s="18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47"/>
      <c r="AA26" s="56"/>
      <c r="AB26" s="47"/>
      <c r="AC26" s="47"/>
    </row>
    <row r="27" spans="1:29" s="12" customFormat="1" ht="29.25" customHeight="1" x14ac:dyDescent="0.2">
      <c r="A27" s="1"/>
      <c r="B27" s="1"/>
      <c r="C27" s="4"/>
      <c r="D27" s="4"/>
      <c r="E27" s="4"/>
      <c r="F27" s="59"/>
      <c r="G27" s="59"/>
      <c r="H27" s="4"/>
      <c r="I27" s="15"/>
      <c r="J27" s="4"/>
      <c r="K27" s="4"/>
      <c r="L27" s="18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47"/>
      <c r="AA27" s="58"/>
      <c r="AB27" s="47"/>
      <c r="AC27" s="47"/>
    </row>
    <row r="28" spans="1:29" s="12" customFormat="1" ht="29.25" customHeight="1" x14ac:dyDescent="0.25">
      <c r="A28" s="1"/>
      <c r="B28" s="1"/>
      <c r="C28" s="5"/>
      <c r="D28" s="5"/>
      <c r="E28" s="5"/>
      <c r="F28" s="60"/>
      <c r="G28" s="60"/>
      <c r="H28" s="5"/>
      <c r="I28" s="13"/>
      <c r="J28" s="13"/>
      <c r="K28" s="16"/>
      <c r="L28" s="18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47"/>
      <c r="AA28" s="47"/>
      <c r="AB28" s="47"/>
      <c r="AC28" s="47"/>
    </row>
    <row r="29" spans="1:29" s="12" customFormat="1" ht="29.25" customHeight="1" x14ac:dyDescent="0.25">
      <c r="A29" s="1"/>
      <c r="B29" s="1"/>
      <c r="C29" s="5"/>
      <c r="D29" s="5"/>
      <c r="E29" s="5"/>
      <c r="F29" s="60"/>
      <c r="G29" s="60"/>
      <c r="H29" s="5"/>
      <c r="I29" s="13"/>
      <c r="J29" s="13"/>
      <c r="K29" s="17"/>
      <c r="L29" s="18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47"/>
      <c r="AA29" s="47"/>
      <c r="AB29" s="47"/>
      <c r="AC29" s="47"/>
    </row>
    <row r="30" spans="1:29" x14ac:dyDescent="0.25">
      <c r="K30" s="17"/>
    </row>
    <row r="31" spans="1:29" x14ac:dyDescent="0.25">
      <c r="K31" s="17"/>
    </row>
    <row r="32" spans="1:29" x14ac:dyDescent="0.25">
      <c r="K32" s="17"/>
    </row>
    <row r="33" spans="11:11" x14ac:dyDescent="0.25">
      <c r="K33" s="17"/>
    </row>
    <row r="34" spans="11:11" x14ac:dyDescent="0.25">
      <c r="K34" s="17"/>
    </row>
    <row r="35" spans="11:11" x14ac:dyDescent="0.25">
      <c r="K35" s="17"/>
    </row>
  </sheetData>
  <mergeCells count="14">
    <mergeCell ref="A21:G21"/>
    <mergeCell ref="M2:M3"/>
    <mergeCell ref="L2:L3"/>
    <mergeCell ref="K2:K3"/>
    <mergeCell ref="A20:B20"/>
    <mergeCell ref="A2:A3"/>
    <mergeCell ref="B2:B3"/>
    <mergeCell ref="C2:C3"/>
    <mergeCell ref="D2:D3"/>
    <mergeCell ref="E2:E3"/>
    <mergeCell ref="I2:J2"/>
    <mergeCell ref="F2:F3"/>
    <mergeCell ref="G2:G3"/>
    <mergeCell ref="H2:H3"/>
  </mergeCells>
  <phoneticPr fontId="2" type="noConversion"/>
  <pageMargins left="0.55118110236220474" right="0.31496062992125984" top="0.78740157480314965" bottom="0.98425196850393704" header="0.51181102362204722" footer="0.51181102362204722"/>
  <pageSetup paperSize="9" scale="56" orientation="landscape" r:id="rId1"/>
  <headerFooter alignWithMargins="0">
    <oddHeader>&amp;CФинансово изпълнение по ЕФРР, КФ, ЕСФ и ФЕПН 2014 -2020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SCF_financial info_EUR_ENG</vt:lpstr>
      <vt:lpstr>'SCF_financial info_EUR_ENG'!Print_Area</vt:lpstr>
    </vt:vector>
  </TitlesOfParts>
  <Company>Ministry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gtserovski</dc:creator>
  <cp:lastModifiedBy>Мартин Войнов</cp:lastModifiedBy>
  <cp:lastPrinted>2020-02-19T12:24:40Z</cp:lastPrinted>
  <dcterms:created xsi:type="dcterms:W3CDTF">2007-11-29T09:10:22Z</dcterms:created>
  <dcterms:modified xsi:type="dcterms:W3CDTF">2023-07-13T11:11:09Z</dcterms:modified>
</cp:coreProperties>
</file>