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СД\public\Счетоводна отчетност\SPARVKI\SCF spravki\INTERNET\2014-2020\2023\03.2023\"/>
    </mc:Choice>
  </mc:AlternateContent>
  <bookViews>
    <workbookView xWindow="0" yWindow="0" windowWidth="14370" windowHeight="3675"/>
  </bookViews>
  <sheets>
    <sheet name="SCF_financial info_EUR_ENG" sheetId="5" r:id="rId1"/>
  </sheets>
  <definedNames>
    <definedName name="_xlnm.Print_Area" localSheetId="0">'SCF_financial info_EUR_ENG'!$A$1:$M$21</definedName>
  </definedNames>
  <calcPr calcId="162913"/>
</workbook>
</file>

<file path=xl/calcChain.xml><?xml version="1.0" encoding="utf-8"?>
<calcChain xmlns="http://schemas.openxmlformats.org/spreadsheetml/2006/main">
  <c r="L19" i="5" l="1"/>
  <c r="I19" i="5"/>
  <c r="K19" i="5" s="1"/>
  <c r="H19" i="5"/>
  <c r="C19" i="5"/>
  <c r="E19" i="5" s="1"/>
  <c r="L18" i="5"/>
  <c r="K18" i="5"/>
  <c r="H18" i="5"/>
  <c r="E18" i="5"/>
  <c r="L17" i="5"/>
  <c r="K17" i="5"/>
  <c r="H17" i="5"/>
  <c r="E17" i="5"/>
  <c r="L16" i="5"/>
  <c r="K16" i="5"/>
  <c r="I16" i="5"/>
  <c r="H16" i="5"/>
  <c r="D16" i="5"/>
  <c r="C16" i="5"/>
  <c r="E16" i="5" s="1"/>
  <c r="L15" i="5"/>
  <c r="K15" i="5"/>
  <c r="H15" i="5"/>
  <c r="C15" i="5"/>
  <c r="E15" i="5" s="1"/>
  <c r="L14" i="5"/>
  <c r="K14" i="5"/>
  <c r="I14" i="5"/>
  <c r="H14" i="5"/>
  <c r="C14" i="5"/>
  <c r="E14" i="5" s="1"/>
  <c r="L13" i="5"/>
  <c r="K13" i="5"/>
  <c r="I13" i="5"/>
  <c r="H13" i="5"/>
  <c r="C13" i="5"/>
  <c r="C11" i="5" s="1"/>
  <c r="L12" i="5"/>
  <c r="L11" i="5" s="1"/>
  <c r="K12" i="5"/>
  <c r="K11" i="5" s="1"/>
  <c r="H12" i="5"/>
  <c r="E12" i="5"/>
  <c r="M11" i="5"/>
  <c r="J11" i="5"/>
  <c r="I11" i="5"/>
  <c r="H11" i="5"/>
  <c r="G11" i="5"/>
  <c r="F11" i="5"/>
  <c r="D11" i="5"/>
  <c r="L10" i="5"/>
  <c r="K10" i="5"/>
  <c r="H10" i="5"/>
  <c r="E10" i="5"/>
  <c r="L9" i="5"/>
  <c r="L8" i="5" s="1"/>
  <c r="K9" i="5"/>
  <c r="H9" i="5"/>
  <c r="H8" i="5" s="1"/>
  <c r="E9" i="5"/>
  <c r="M8" i="5"/>
  <c r="K8" i="5"/>
  <c r="J8" i="5"/>
  <c r="I8" i="5"/>
  <c r="I20" i="5" s="1"/>
  <c r="G8" i="5"/>
  <c r="F8" i="5"/>
  <c r="E8" i="5"/>
  <c r="D8" i="5"/>
  <c r="C8" i="5"/>
  <c r="L7" i="5"/>
  <c r="K7" i="5"/>
  <c r="H7" i="5"/>
  <c r="H5" i="5" s="1"/>
  <c r="H20" i="5" s="1"/>
  <c r="E7" i="5"/>
  <c r="L6" i="5"/>
  <c r="K6" i="5"/>
  <c r="K5" i="5" s="1"/>
  <c r="H6" i="5"/>
  <c r="E6" i="5"/>
  <c r="E5" i="5" s="1"/>
  <c r="M5" i="5"/>
  <c r="M20" i="5" s="1"/>
  <c r="L5" i="5"/>
  <c r="J5" i="5"/>
  <c r="J20" i="5" s="1"/>
  <c r="I5" i="5"/>
  <c r="G5" i="5"/>
  <c r="G20" i="5" s="1"/>
  <c r="F5" i="5"/>
  <c r="F20" i="5" s="1"/>
  <c r="D5" i="5"/>
  <c r="D20" i="5" s="1"/>
  <c r="C5" i="5"/>
  <c r="K20" i="5" l="1"/>
  <c r="C20" i="5"/>
  <c r="E20" i="5" s="1"/>
  <c r="L20" i="5"/>
  <c r="E13" i="5"/>
  <c r="E11" i="5" s="1"/>
  <c r="AA8" i="5"/>
  <c r="AC8" i="5" s="1"/>
  <c r="AA9" i="5"/>
  <c r="AA10" i="5"/>
  <c r="AA12" i="5"/>
  <c r="AA13" i="5"/>
  <c r="AA14" i="5"/>
  <c r="AC14" i="5" s="1"/>
  <c r="AA15" i="5"/>
  <c r="AC15" i="5" s="1"/>
  <c r="AA16" i="5"/>
  <c r="AC16" i="5" s="1"/>
  <c r="AA17" i="5"/>
  <c r="AA18" i="5"/>
  <c r="AC18" i="5" s="1"/>
  <c r="AA19" i="5"/>
  <c r="AC19" i="5" s="1"/>
  <c r="Z8" i="5"/>
  <c r="Z9" i="5"/>
  <c r="Z10" i="5"/>
  <c r="Z12" i="5"/>
  <c r="Z13" i="5"/>
  <c r="Z14" i="5"/>
  <c r="Z15" i="5"/>
  <c r="Z16" i="5"/>
  <c r="Z17" i="5"/>
  <c r="Z18" i="5"/>
  <c r="Z19" i="5"/>
  <c r="AA11" i="5" l="1"/>
  <c r="AC11" i="5" s="1"/>
  <c r="Z11" i="5"/>
  <c r="AA6" i="5"/>
  <c r="Z7" i="5" l="1"/>
  <c r="AA7" i="5"/>
  <c r="AA5" i="5" s="1"/>
  <c r="AC5" i="5" s="1"/>
  <c r="Z6" i="5"/>
</calcChain>
</file>

<file path=xl/sharedStrings.xml><?xml version="1.0" encoding="utf-8"?>
<sst xmlns="http://schemas.openxmlformats.org/spreadsheetml/2006/main" count="47" uniqueCount="31">
  <si>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</si>
  <si>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</si>
  <si>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</si>
  <si>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</si>
  <si>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</si>
  <si>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</si>
  <si>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</si>
  <si>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</si>
  <si>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</si>
  <si>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</si>
  <si>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</si>
  <si>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</si>
  <si>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</si>
  <si>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</si>
  <si>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</si>
  <si>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</si>
  <si>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</si>
  <si>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7. OP SME Initiative /ERDF</t>
  </si>
  <si>
    <t>8. OP Good Governance / ESF</t>
  </si>
  <si>
    <t>9. OP Fund for EU Aid for the most deprived</t>
  </si>
  <si>
    <t>Total</t>
  </si>
  <si>
    <t xml:space="preserve"> </t>
  </si>
  <si>
    <t>6. OP Innovation and Competitiveness 2014-2020  / ERDF *</t>
  </si>
  <si>
    <t xml:space="preserve">* payments made under the scheme BG16RFOP002-2.073 Support for micro and small enterprises to overcome the economic consequences of the COVID-19 pandemic are reported  </t>
  </si>
  <si>
    <t>Total pre-financing received from the EC up to 31.03.2023</t>
  </si>
  <si>
    <t>Funds received from the EC based on submitted applications for payment up to  31.03.2023</t>
  </si>
  <si>
    <t>Total funds received from the EC up to  31.03.2023</t>
  </si>
  <si>
    <t>Paid up to  31.03.2023</t>
  </si>
  <si>
    <t>Total paid up to 31.03.2023</t>
  </si>
  <si>
    <t>Total public expenditure declared to the EC with Payment claims
 as per  31.03.2023</t>
  </si>
  <si>
    <t>Total public expenditure certified to the EC with Annual Accounts 
as per  31.03.2023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</si>
</sst>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</numFmts>
  <fonts count="15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969696"/>
      <name val="Times New Roman"/>
      <family val="1"/>
      <charset val="204"/>
    </font>
    <font>
      <sz val="11"/>
      <color rgb="FF969696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8" fontId="4" fillId="2" borderId="0" xfId="2" applyNumberFormat="1" applyFont="1" applyFill="1" applyBorder="1" applyAlignment="1">
      <alignment horizontal="center"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70" fontId="8" fillId="2" borderId="0" xfId="0" applyNumberFormat="1" applyFont="1" applyFill="1" applyBorder="1" applyAlignment="1">
      <alignment horizontal="center" vertical="center"/>
    </xf>
    <xf numFmtId="170" fontId="8" fillId="0" borderId="0" xfId="0" applyNumberFormat="1" applyFont="1" applyFill="1" applyBorder="1" applyAlignment="1">
      <alignment horizontal="center" vertical="center"/>
    </xf>
    <xf numFmtId="170" fontId="8" fillId="0" borderId="0" xfId="1" applyNumberFormat="1" applyFont="1" applyFill="1" applyBorder="1" applyAlignment="1">
      <alignment horizontal="right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1" fillId="0" borderId="0" xfId="0" applyFont="1" applyFill="1" applyAlignment="1">
      <alignment horizontal="center" vertical="center"/>
    </xf>
    <xf numFmtId="3" fontId="10" fillId="0" borderId="0" xfId="0" applyNumberFormat="1" applyFont="1" applyFill="1"/>
    <xf numFmtId="0" fontId="10" fillId="0" borderId="0" xfId="0" applyFont="1" applyFill="1"/>
    <xf numFmtId="3" fontId="10" fillId="0" borderId="0" xfId="0" applyNumberFormat="1" applyFont="1" applyFill="1" applyAlignment="1">
      <alignment horizontal="center" vertical="center"/>
    </xf>
    <xf numFmtId="3" fontId="11" fillId="0" borderId="0" xfId="0" applyNumberFormat="1" applyFont="1" applyFill="1"/>
    <xf numFmtId="0" fontId="11" fillId="0" borderId="0" xfId="0" applyFont="1" applyFill="1"/>
    <xf numFmtId="0" fontId="10" fillId="0" borderId="0" xfId="0" applyFont="1" applyFill="1" applyAlignment="1">
      <alignment horizontal="center" vertical="center"/>
    </xf>
    <xf numFmtId="4" fontId="10" fillId="0" borderId="0" xfId="0" applyNumberFormat="1" applyFont="1" applyFill="1"/>
    <xf numFmtId="165" fontId="10" fillId="0" borderId="0" xfId="1" applyFont="1" applyFill="1" applyAlignment="1">
      <alignment horizontal="center" vertical="center"/>
    </xf>
    <xf numFmtId="10" fontId="10" fillId="0" borderId="0" xfId="0" applyNumberFormat="1" applyFont="1" applyFill="1"/>
    <xf numFmtId="3" fontId="10" fillId="2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4" borderId="0" xfId="0" applyFont="1" applyFill="1"/>
    <xf numFmtId="168" fontId="3" fillId="2" borderId="0" xfId="2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168" fontId="7" fillId="0" borderId="0" xfId="2" applyNumberFormat="1" applyFont="1" applyFill="1" applyBorder="1" applyAlignment="1">
      <alignment horizontal="center" vertical="center" wrapText="1"/>
    </xf>
    <xf numFmtId="168" fontId="7" fillId="2" borderId="0" xfId="2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0" fontId="8" fillId="0" borderId="1" xfId="0" applyNumberFormat="1" applyFont="1" applyFill="1" applyBorder="1" applyAlignment="1">
      <alignment horizontal="center" vertical="center"/>
    </xf>
    <xf numFmtId="170" fontId="8" fillId="0" borderId="1" xfId="1" applyNumberFormat="1" applyFont="1" applyFill="1" applyBorder="1" applyAlignment="1">
      <alignment horizontal="right" vertical="center"/>
    </xf>
    <xf numFmtId="170" fontId="3" fillId="0" borderId="1" xfId="0" applyNumberFormat="1" applyFont="1" applyFill="1" applyBorder="1" applyAlignment="1">
      <alignment horizontal="center" vertical="center"/>
    </xf>
    <xf numFmtId="170" fontId="7" fillId="0" borderId="1" xfId="0" applyNumberFormat="1" applyFont="1" applyFill="1" applyBorder="1" applyAlignment="1">
      <alignment horizontal="center" vertical="center"/>
    </xf>
    <xf numFmtId="3" fontId="8" fillId="0" borderId="1" xfId="1" applyNumberFormat="1" applyFont="1" applyFill="1" applyBorder="1" applyAlignment="1">
      <alignment vertical="center" wrapText="1"/>
    </xf>
    <xf numFmtId="170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172" fontId="1" fillId="0" borderId="1" xfId="1" applyNumberFormat="1" applyFont="1" applyFill="1" applyBorder="1" applyAlignment="1">
      <alignment horizontal="right" vertical="center"/>
    </xf>
    <xf numFmtId="170" fontId="5" fillId="0" borderId="1" xfId="0" applyNumberFormat="1" applyFont="1" applyFill="1" applyBorder="1" applyAlignment="1">
      <alignment vertical="center"/>
    </xf>
    <xf numFmtId="168" fontId="5" fillId="0" borderId="3" xfId="0" applyNumberFormat="1" applyFont="1" applyFill="1" applyBorder="1" applyAlignment="1">
      <alignment vertical="center"/>
    </xf>
    <xf numFmtId="172" fontId="9" fillId="0" borderId="1" xfId="1" applyNumberFormat="1" applyFont="1" applyFill="1" applyBorder="1" applyAlignment="1">
      <alignment horizontal="right" vertical="center"/>
    </xf>
    <xf numFmtId="168" fontId="5" fillId="0" borderId="1" xfId="0" applyNumberFormat="1" applyFont="1" applyFill="1" applyBorder="1" applyAlignment="1">
      <alignment vertical="center"/>
    </xf>
    <xf numFmtId="172" fontId="12" fillId="0" borderId="1" xfId="1" applyNumberFormat="1" applyFont="1" applyFill="1" applyBorder="1" applyAlignment="1">
      <alignment horizontal="right" vertical="center"/>
    </xf>
    <xf numFmtId="168" fontId="3" fillId="0" borderId="3" xfId="0" applyNumberFormat="1" applyFont="1" applyFill="1" applyBorder="1" applyAlignment="1">
      <alignment horizontal="center" vertical="center"/>
    </xf>
    <xf numFmtId="168" fontId="3" fillId="0" borderId="1" xfId="1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69696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tabSelected="1" view="pageBreakPreview" zoomScale="90" zoomScaleNormal="90" zoomScaleSheetLayoutView="90" workbookViewId="0">
      <pane xSplit="1" ySplit="3" topLeftCell="E4" activePane="bottomRight" state="frozen"/>
      <selection pane="topRight" activeCell="B1" sqref="B1"/>
      <selection pane="bottomLeft" activeCell="A4" sqref="A4"/>
      <selection pane="bottomRight" activeCell="M2" sqref="M2:M3"/>
    </sheetView>
  </sheetViews>
  <sheetFormatPr defaultColWidth="9.140625" defaultRowHeight="15" outlineLevelRow="1" x14ac:dyDescent="0.25"/>
  <cols>
    <col min="1" max="1" width="34.7109375" style="13" customWidth="1"/>
    <col min="2" max="2" width="7.85546875" style="5" customWidth="1"/>
    <col min="3" max="3" width="17.5703125" style="5" customWidth="1"/>
    <col min="4" max="4" width="17.85546875" style="5" customWidth="1"/>
    <col min="5" max="5" width="19.7109375" style="5" customWidth="1"/>
    <col min="6" max="6" width="18.140625" style="60" customWidth="1"/>
    <col min="7" max="7" width="19.42578125" style="60" customWidth="1"/>
    <col min="8" max="8" width="16.7109375" style="5" customWidth="1"/>
    <col min="9" max="9" width="17.85546875" style="13" customWidth="1"/>
    <col min="10" max="10" width="16.7109375" style="13" customWidth="1"/>
    <col min="11" max="11" width="17.5703125" style="13" customWidth="1"/>
    <col min="12" max="12" width="19" style="19" customWidth="1"/>
    <col min="13" max="25" width="17.7109375" style="7" customWidth="1"/>
    <col min="26" max="26" width="25.5703125" style="50" customWidth="1"/>
    <col min="27" max="27" width="28.42578125" style="50" customWidth="1"/>
    <col min="28" max="28" width="13.5703125" style="50" customWidth="1"/>
    <col min="29" max="29" width="24.28515625" style="50" customWidth="1"/>
    <col min="30" max="16384" width="9.140625" style="13"/>
  </cols>
  <sheetData>
    <row r="1" spans="1:29" s="9" customFormat="1" ht="11.25" customHeight="1" x14ac:dyDescent="0.2">
      <c r="A1" s="1"/>
      <c r="B1" s="1"/>
      <c r="C1" s="2"/>
      <c r="D1" s="2"/>
      <c r="E1" s="2"/>
      <c r="F1" s="22"/>
      <c r="G1" s="22"/>
      <c r="H1" s="22"/>
      <c r="I1" s="23"/>
      <c r="J1" s="23"/>
      <c r="K1" s="23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44"/>
      <c r="AA1" s="44"/>
      <c r="AB1" s="44"/>
      <c r="AC1" s="44"/>
    </row>
    <row r="2" spans="1:29" s="10" customFormat="1" ht="12.75" customHeight="1" x14ac:dyDescent="0.25">
      <c r="A2" s="88" t="s">
        <v>0</v>
      </c>
      <c r="B2" s="89" t="s">
        <v>1</v>
      </c>
      <c r="C2" s="91" t="s">
        <v>2</v>
      </c>
      <c r="D2" s="91" t="s">
        <v>3</v>
      </c>
      <c r="E2" s="91" t="s">
        <v>4</v>
      </c>
      <c r="F2" s="84" t="s">
        <v>24</v>
      </c>
      <c r="G2" s="84" t="s">
        <v>25</v>
      </c>
      <c r="H2" s="84" t="s">
        <v>26</v>
      </c>
      <c r="I2" s="93" t="s">
        <v>27</v>
      </c>
      <c r="J2" s="94"/>
      <c r="K2" s="84" t="s">
        <v>28</v>
      </c>
      <c r="L2" s="82" t="s">
        <v>29</v>
      </c>
      <c r="M2" s="82" t="s">
        <v>30</v>
      </c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45"/>
      <c r="AA2" s="45"/>
      <c r="AB2" s="45"/>
      <c r="AC2" s="45"/>
    </row>
    <row r="3" spans="1:29" s="10" customFormat="1" ht="75" customHeight="1" x14ac:dyDescent="0.25">
      <c r="A3" s="88"/>
      <c r="B3" s="90"/>
      <c r="C3" s="92"/>
      <c r="D3" s="92"/>
      <c r="E3" s="92"/>
      <c r="F3" s="95"/>
      <c r="G3" s="95"/>
      <c r="H3" s="95"/>
      <c r="I3" s="34" t="s">
        <v>5</v>
      </c>
      <c r="J3" s="35" t="s">
        <v>6</v>
      </c>
      <c r="K3" s="85"/>
      <c r="L3" s="83"/>
      <c r="M3" s="83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45"/>
      <c r="AA3" s="45"/>
      <c r="AB3" s="45"/>
      <c r="AC3" s="45"/>
    </row>
    <row r="4" spans="1:29" s="10" customFormat="1" ht="18.75" customHeight="1" x14ac:dyDescent="0.2">
      <c r="A4" s="11">
        <v>1</v>
      </c>
      <c r="B4" s="3">
        <v>2</v>
      </c>
      <c r="C4" s="8">
        <v>3</v>
      </c>
      <c r="D4" s="3">
        <v>4</v>
      </c>
      <c r="E4" s="3">
        <v>5</v>
      </c>
      <c r="F4" s="25">
        <v>6</v>
      </c>
      <c r="G4" s="25">
        <v>7</v>
      </c>
      <c r="H4" s="25">
        <v>8</v>
      </c>
      <c r="I4" s="25">
        <v>9</v>
      </c>
      <c r="J4" s="25">
        <v>10</v>
      </c>
      <c r="K4" s="64">
        <v>11</v>
      </c>
      <c r="L4" s="64">
        <v>12</v>
      </c>
      <c r="M4" s="20">
        <v>13</v>
      </c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45"/>
      <c r="AA4" s="45"/>
      <c r="AB4" s="45"/>
      <c r="AC4" s="45"/>
    </row>
    <row r="5" spans="1:29" s="12" customFormat="1" ht="29.25" customHeight="1" x14ac:dyDescent="0.2">
      <c r="A5" s="29" t="s">
        <v>7</v>
      </c>
      <c r="B5" s="26" t="s">
        <v>8</v>
      </c>
      <c r="C5" s="67">
        <f>C6+C7</f>
        <v>1520755090</v>
      </c>
      <c r="D5" s="67">
        <f>D6+D7</f>
        <v>268368549</v>
      </c>
      <c r="E5" s="67">
        <f>E6+E7</f>
        <v>1789123639</v>
      </c>
      <c r="F5" s="67">
        <f t="shared" ref="F5:M5" si="0">F6+F7</f>
        <v>176293590.60999998</v>
      </c>
      <c r="G5" s="67">
        <f t="shared" si="0"/>
        <v>866313423.8499999</v>
      </c>
      <c r="H5" s="67">
        <f t="shared" si="0"/>
        <v>1042607014.4599998</v>
      </c>
      <c r="I5" s="68">
        <f>+I6+I7</f>
        <v>1043985984.3521755</v>
      </c>
      <c r="J5" s="68">
        <f>+J6+J7</f>
        <v>184232820.76803097</v>
      </c>
      <c r="K5" s="67">
        <f>K6+K7</f>
        <v>1228218805.1202066</v>
      </c>
      <c r="L5" s="68">
        <f>L6+L7</f>
        <v>1126937190.9213424</v>
      </c>
      <c r="M5" s="67">
        <f t="shared" si="0"/>
        <v>993012301.25999999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46"/>
      <c r="AA5" s="46">
        <f>+AA6+AA7</f>
        <v>2402187185.6182537</v>
      </c>
      <c r="AB5" s="47">
        <v>1461442349.48</v>
      </c>
      <c r="AC5" s="48">
        <f>+AA5-AB5</f>
        <v>940744836.13825369</v>
      </c>
    </row>
    <row r="6" spans="1:29" ht="29.25" customHeight="1" outlineLevel="1" x14ac:dyDescent="0.25">
      <c r="A6" s="30" t="s">
        <v>9</v>
      </c>
      <c r="B6" s="31" t="s">
        <v>8</v>
      </c>
      <c r="C6" s="69">
        <v>438611756</v>
      </c>
      <c r="D6" s="69">
        <v>77402076</v>
      </c>
      <c r="E6" s="65">
        <f>+C6+D6</f>
        <v>516013832</v>
      </c>
      <c r="F6" s="70">
        <v>61510576.303750001</v>
      </c>
      <c r="G6" s="65">
        <v>364356856.3599999</v>
      </c>
      <c r="H6" s="65">
        <f>F6+G6</f>
        <v>425867432.66374987</v>
      </c>
      <c r="I6" s="70">
        <v>408323003.73773354</v>
      </c>
      <c r="J6" s="71">
        <v>72057000.659600034</v>
      </c>
      <c r="K6" s="65">
        <f>+I6+J6</f>
        <v>480380004.39733356</v>
      </c>
      <c r="L6" s="65">
        <f>477609243.442335-2378.41/1.9558+1490687.54/1.9558</f>
        <v>478370215.48957908</v>
      </c>
      <c r="M6" s="65">
        <v>471380477.5</v>
      </c>
      <c r="N6" s="40"/>
      <c r="O6" s="39"/>
      <c r="P6" s="40"/>
      <c r="Q6" s="40"/>
      <c r="R6" s="40"/>
      <c r="S6" s="40"/>
      <c r="T6" s="40"/>
      <c r="U6" s="40"/>
      <c r="V6" s="40"/>
      <c r="W6" s="40"/>
      <c r="X6" s="40"/>
      <c r="Y6" s="40"/>
      <c r="Z6" s="46">
        <f>+K6*1.9558</f>
        <v>939527212.60030496</v>
      </c>
      <c r="AA6" s="49">
        <f>+K6*1.95583</f>
        <v>939541624.0004369</v>
      </c>
    </row>
    <row r="7" spans="1:29" ht="29.25" customHeight="1" outlineLevel="1" x14ac:dyDescent="0.25">
      <c r="A7" s="30" t="s">
        <v>10</v>
      </c>
      <c r="B7" s="31" t="s">
        <v>8</v>
      </c>
      <c r="C7" s="69">
        <v>1082143334</v>
      </c>
      <c r="D7" s="69">
        <v>190966473</v>
      </c>
      <c r="E7" s="65">
        <f>+C7+D7</f>
        <v>1273109807</v>
      </c>
      <c r="F7" s="70">
        <v>114783014.30624999</v>
      </c>
      <c r="G7" s="65">
        <v>501956567.49000001</v>
      </c>
      <c r="H7" s="65">
        <f>F7+G7</f>
        <v>616739581.79624999</v>
      </c>
      <c r="I7" s="70">
        <v>635662980.61444199</v>
      </c>
      <c r="J7" s="71">
        <v>112175820.10843094</v>
      </c>
      <c r="K7" s="65">
        <f>+I7+J7</f>
        <v>747838800.72287297</v>
      </c>
      <c r="L7" s="65">
        <f>647654505.792741-1172981.32/1.9558+2957589.44/1.9558</f>
        <v>648566975.43176329</v>
      </c>
      <c r="M7" s="65">
        <v>521631823.75999999</v>
      </c>
      <c r="N7" s="40"/>
      <c r="O7" s="39"/>
      <c r="P7" s="40"/>
      <c r="Q7" s="40"/>
      <c r="R7" s="40"/>
      <c r="S7" s="40"/>
      <c r="T7" s="40"/>
      <c r="U7" s="40"/>
      <c r="V7" s="40"/>
      <c r="W7" s="40"/>
      <c r="X7" s="40"/>
      <c r="Y7" s="40"/>
      <c r="Z7" s="46">
        <f t="shared" ref="Z7:Z19" si="1">+K7*1.9558</f>
        <v>1462623126.453795</v>
      </c>
      <c r="AA7" s="49">
        <f t="shared" ref="AA7:AA19" si="2">+K7*1.95583</f>
        <v>1462645561.6178167</v>
      </c>
    </row>
    <row r="8" spans="1:29" s="12" customFormat="1" ht="29.25" customHeight="1" x14ac:dyDescent="0.2">
      <c r="A8" s="29" t="s">
        <v>11</v>
      </c>
      <c r="B8" s="26" t="s">
        <v>8</v>
      </c>
      <c r="C8" s="67">
        <f>C9+C10</f>
        <v>1474466160</v>
      </c>
      <c r="D8" s="67">
        <f t="shared" ref="D8:K8" si="3">D9+D10</f>
        <v>260199914</v>
      </c>
      <c r="E8" s="67">
        <f>E9+E10</f>
        <v>1734666074</v>
      </c>
      <c r="F8" s="67">
        <f t="shared" si="3"/>
        <v>147558105.94125</v>
      </c>
      <c r="G8" s="67">
        <f t="shared" si="3"/>
        <v>760830764.75</v>
      </c>
      <c r="H8" s="67">
        <f>H9+H10</f>
        <v>908388870.69125009</v>
      </c>
      <c r="I8" s="68">
        <f>+I9+I10</f>
        <v>974018031.05755889</v>
      </c>
      <c r="J8" s="68">
        <f>+J9+J10</f>
        <v>171885534.89251038</v>
      </c>
      <c r="K8" s="67">
        <f t="shared" si="3"/>
        <v>1145903565.9500694</v>
      </c>
      <c r="L8" s="68">
        <f>L9+L10</f>
        <v>946579225.49913538</v>
      </c>
      <c r="M8" s="67">
        <f>M9+M10</f>
        <v>785579840.74000001</v>
      </c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46">
        <f t="shared" si="1"/>
        <v>2241158194.2851458</v>
      </c>
      <c r="AA8" s="46">
        <f t="shared" si="2"/>
        <v>2241192571.3921242</v>
      </c>
      <c r="AB8" s="47">
        <v>942880842.37</v>
      </c>
      <c r="AC8" s="48">
        <f>+AA8-AB8</f>
        <v>1298311729.0221243</v>
      </c>
    </row>
    <row r="9" spans="1:29" ht="29.25" customHeight="1" outlineLevel="1" x14ac:dyDescent="0.25">
      <c r="A9" s="30" t="s">
        <v>9</v>
      </c>
      <c r="B9" s="31" t="s">
        <v>8</v>
      </c>
      <c r="C9" s="69">
        <v>349712078</v>
      </c>
      <c r="D9" s="69">
        <v>61713898</v>
      </c>
      <c r="E9" s="65">
        <f>+C9+D9</f>
        <v>411425976</v>
      </c>
      <c r="F9" s="70">
        <v>36031152.328749999</v>
      </c>
      <c r="G9" s="65">
        <v>183726894.56</v>
      </c>
      <c r="H9" s="65">
        <f>F9+G9</f>
        <v>219758046.88875002</v>
      </c>
      <c r="I9" s="70">
        <v>238509002.62786606</v>
      </c>
      <c r="J9" s="71">
        <v>42089823.993152834</v>
      </c>
      <c r="K9" s="65">
        <f>I9+J9</f>
        <v>280598826.62101889</v>
      </c>
      <c r="L9" s="65">
        <f>204560617.590967-2059817.82/1.9558</f>
        <v>203507433.30832052</v>
      </c>
      <c r="M9" s="65">
        <v>158566903.72</v>
      </c>
      <c r="N9" s="41"/>
      <c r="O9" s="39"/>
      <c r="P9" s="41"/>
      <c r="Q9" s="41"/>
      <c r="R9" s="41"/>
      <c r="S9" s="41"/>
      <c r="T9" s="41"/>
      <c r="U9" s="41"/>
      <c r="V9" s="41"/>
      <c r="W9" s="41"/>
      <c r="X9" s="41"/>
      <c r="Y9" s="41"/>
      <c r="Z9" s="46">
        <f t="shared" si="1"/>
        <v>548795185.10538876</v>
      </c>
      <c r="AA9" s="49">
        <f t="shared" si="2"/>
        <v>548803603.07018733</v>
      </c>
      <c r="AB9" s="49"/>
    </row>
    <row r="10" spans="1:29" ht="29.25" customHeight="1" outlineLevel="1" x14ac:dyDescent="0.25">
      <c r="A10" s="30" t="s">
        <v>10</v>
      </c>
      <c r="B10" s="31" t="s">
        <v>8</v>
      </c>
      <c r="C10" s="69">
        <v>1124754082</v>
      </c>
      <c r="D10" s="69">
        <v>198486016</v>
      </c>
      <c r="E10" s="65">
        <f>+C10+D10</f>
        <v>1323240098</v>
      </c>
      <c r="F10" s="70">
        <v>111526953.6125</v>
      </c>
      <c r="G10" s="72">
        <v>577103870.19000006</v>
      </c>
      <c r="H10" s="65">
        <f>F10+G10</f>
        <v>688630823.80250001</v>
      </c>
      <c r="I10" s="70">
        <v>735509028.42969286</v>
      </c>
      <c r="J10" s="71">
        <v>129795710.89935756</v>
      </c>
      <c r="K10" s="65">
        <f>I10+J10</f>
        <v>865304739.32905042</v>
      </c>
      <c r="L10" s="65">
        <f>745716493.755392-5172507.32/1.9558</f>
        <v>743071792.19081485</v>
      </c>
      <c r="M10" s="65">
        <v>627012937.01999998</v>
      </c>
      <c r="N10" s="41"/>
      <c r="O10" s="39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6">
        <f t="shared" si="1"/>
        <v>1692363009.1797569</v>
      </c>
      <c r="AA10" s="49">
        <f t="shared" si="2"/>
        <v>1692388968.3219366</v>
      </c>
      <c r="AB10" s="49"/>
    </row>
    <row r="11" spans="1:29" s="12" customFormat="1" ht="29.25" customHeight="1" x14ac:dyDescent="0.25">
      <c r="A11" s="29" t="s">
        <v>12</v>
      </c>
      <c r="B11" s="26" t="s">
        <v>8</v>
      </c>
      <c r="C11" s="67">
        <f>C12+C13</f>
        <v>595110177</v>
      </c>
      <c r="D11" s="67">
        <f t="shared" ref="D11:M11" si="4">D12+D13</f>
        <v>95133839</v>
      </c>
      <c r="E11" s="67">
        <f t="shared" si="4"/>
        <v>690244016</v>
      </c>
      <c r="F11" s="67">
        <f t="shared" si="4"/>
        <v>78731164.907499999</v>
      </c>
      <c r="G11" s="67">
        <f t="shared" si="4"/>
        <v>362849156.37</v>
      </c>
      <c r="H11" s="67">
        <f t="shared" si="4"/>
        <v>441580321.27750003</v>
      </c>
      <c r="I11" s="68">
        <f>+I12+I13</f>
        <v>496921130.64135921</v>
      </c>
      <c r="J11" s="68">
        <f>+J12+J13</f>
        <v>80909564.832468212</v>
      </c>
      <c r="K11" s="67">
        <f t="shared" si="4"/>
        <v>577830695.47382748</v>
      </c>
      <c r="L11" s="68">
        <f>L12+L13</f>
        <v>480704770.75068593</v>
      </c>
      <c r="M11" s="67">
        <f t="shared" si="4"/>
        <v>408661739.31999999</v>
      </c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6">
        <f t="shared" si="1"/>
        <v>1130121274.2077117</v>
      </c>
      <c r="AA11" s="46">
        <f t="shared" si="2"/>
        <v>1130138609.128576</v>
      </c>
      <c r="AB11" s="49">
        <v>508734585.13999999</v>
      </c>
      <c r="AC11" s="48">
        <f>+AA11-AB11</f>
        <v>621404023.98857605</v>
      </c>
    </row>
    <row r="12" spans="1:29" s="14" customFormat="1" ht="29.25" customHeight="1" x14ac:dyDescent="0.25">
      <c r="A12" s="30" t="s">
        <v>13</v>
      </c>
      <c r="B12" s="31" t="s">
        <v>8</v>
      </c>
      <c r="C12" s="69">
        <v>186989211</v>
      </c>
      <c r="D12" s="69">
        <v>32998097</v>
      </c>
      <c r="E12" s="65">
        <f>+C12+D12</f>
        <v>219987308</v>
      </c>
      <c r="F12" s="65">
        <v>20725274.997499999</v>
      </c>
      <c r="G12" s="72">
        <v>83017596.169999987</v>
      </c>
      <c r="H12" s="65">
        <f t="shared" ref="H12:H19" si="5">F12+G12</f>
        <v>103742871.16749999</v>
      </c>
      <c r="I12" s="73">
        <v>124789387.45236953</v>
      </c>
      <c r="J12" s="74">
        <v>22021656.609241679</v>
      </c>
      <c r="K12" s="65">
        <f t="shared" ref="K12:K18" si="6">I12+J12</f>
        <v>146811044.06161121</v>
      </c>
      <c r="L12" s="66">
        <f>107546393.822339-786940.5/1.9558+8556846.49/1.9558</f>
        <v>111519144.60974059</v>
      </c>
      <c r="M12" s="66">
        <v>93493944.829999998</v>
      </c>
      <c r="N12" s="42"/>
      <c r="O12" s="39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6">
        <f t="shared" si="1"/>
        <v>287133039.97569919</v>
      </c>
      <c r="AA12" s="49">
        <f t="shared" si="2"/>
        <v>287137444.30702102</v>
      </c>
      <c r="AB12" s="49"/>
      <c r="AC12" s="51"/>
    </row>
    <row r="13" spans="1:29" s="12" customFormat="1" ht="29.25" customHeight="1" x14ac:dyDescent="0.25">
      <c r="A13" s="30" t="s">
        <v>14</v>
      </c>
      <c r="B13" s="31" t="s">
        <v>8</v>
      </c>
      <c r="C13" s="69">
        <f>352102522+56018444</f>
        <v>408120966</v>
      </c>
      <c r="D13" s="69">
        <v>62135742</v>
      </c>
      <c r="E13" s="65">
        <f t="shared" ref="E13:E19" si="7">+C13+D13</f>
        <v>470256708</v>
      </c>
      <c r="F13" s="65">
        <v>58005889.910000004</v>
      </c>
      <c r="G13" s="75">
        <v>279831560.20000005</v>
      </c>
      <c r="H13" s="65">
        <f t="shared" si="5"/>
        <v>337837450.11000007</v>
      </c>
      <c r="I13" s="73">
        <f>333698146.598284+38433596.5907057</f>
        <v>372131743.1889897</v>
      </c>
      <c r="J13" s="76">
        <v>58887908.22322654</v>
      </c>
      <c r="K13" s="65">
        <f>I13+J13</f>
        <v>431019651.41221625</v>
      </c>
      <c r="L13" s="65">
        <f>360184717.433511-20340.5/1.9558-16346.1/1.9558+17640663.85/1.9558</f>
        <v>369185626.14094537</v>
      </c>
      <c r="M13" s="65">
        <v>315167794.49000001</v>
      </c>
      <c r="N13" s="41"/>
      <c r="O13" s="39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6">
        <f t="shared" si="1"/>
        <v>842988234.23201251</v>
      </c>
      <c r="AA13" s="49">
        <f t="shared" si="2"/>
        <v>843001164.8215549</v>
      </c>
      <c r="AB13" s="49"/>
      <c r="AC13" s="52"/>
    </row>
    <row r="14" spans="1:29" s="14" customFormat="1" ht="29.25" customHeight="1" x14ac:dyDescent="0.25">
      <c r="A14" s="29" t="s">
        <v>15</v>
      </c>
      <c r="B14" s="26" t="s">
        <v>8</v>
      </c>
      <c r="C14" s="68">
        <f>1311704793+66095345</f>
        <v>1377800138</v>
      </c>
      <c r="D14" s="68">
        <v>231477320</v>
      </c>
      <c r="E14" s="67">
        <f t="shared" si="7"/>
        <v>1609277458</v>
      </c>
      <c r="F14" s="77">
        <v>170820505.10625002</v>
      </c>
      <c r="G14" s="68">
        <v>761074937.63000023</v>
      </c>
      <c r="H14" s="68">
        <f t="shared" si="5"/>
        <v>931895442.73625028</v>
      </c>
      <c r="I14" s="67">
        <f>995586494.07821+23133241.0434445</f>
        <v>1018719735.1216545</v>
      </c>
      <c r="J14" s="78">
        <v>175691734.24909583</v>
      </c>
      <c r="K14" s="68">
        <f t="shared" si="6"/>
        <v>1194411469.3707504</v>
      </c>
      <c r="L14" s="68">
        <f>967695569.169556+15138838.17/1.9558-2402850.3/1.9558-2743.54/1.9558+25217716.69/1.9558</f>
        <v>987099885.06075144</v>
      </c>
      <c r="M14" s="68">
        <v>924831926.42999995</v>
      </c>
      <c r="N14" s="43"/>
      <c r="O14" s="39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6">
        <f t="shared" si="1"/>
        <v>2336029951.7953138</v>
      </c>
      <c r="AA14" s="46">
        <f t="shared" si="2"/>
        <v>2336065784.1393948</v>
      </c>
      <c r="AB14" s="49">
        <v>1591964903.49</v>
      </c>
      <c r="AC14" s="48">
        <f>+AA14-AB14</f>
        <v>744100880.64939475</v>
      </c>
    </row>
    <row r="15" spans="1:29" s="14" customFormat="1" ht="29.25" customHeight="1" x14ac:dyDescent="0.25">
      <c r="A15" s="32" t="s">
        <v>16</v>
      </c>
      <c r="B15" s="26" t="s">
        <v>8</v>
      </c>
      <c r="C15" s="68">
        <f>996896918+173640925+36375789</f>
        <v>1206913632</v>
      </c>
      <c r="D15" s="68">
        <v>164909543</v>
      </c>
      <c r="E15" s="68">
        <f>+C15+D15</f>
        <v>1371823175</v>
      </c>
      <c r="F15" s="68">
        <v>213668743.45000002</v>
      </c>
      <c r="G15" s="68">
        <v>891466744.17999995</v>
      </c>
      <c r="H15" s="68">
        <f t="shared" si="5"/>
        <v>1105135487.6299999</v>
      </c>
      <c r="I15" s="79">
        <v>1076440891.203933</v>
      </c>
      <c r="J15" s="79">
        <v>149634796.36063293</v>
      </c>
      <c r="K15" s="68">
        <f t="shared" si="6"/>
        <v>1226075687.5645659</v>
      </c>
      <c r="L15" s="68">
        <f>1117502500.59107+82251884.29/1.9558-435626.68/1.9558+18166372.34/1.9558</f>
        <v>1168623591.679116</v>
      </c>
      <c r="M15" s="68">
        <v>1069359136.97</v>
      </c>
      <c r="N15" s="43"/>
      <c r="O15" s="39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6">
        <f t="shared" si="1"/>
        <v>2397958829.7387781</v>
      </c>
      <c r="AA15" s="46">
        <f t="shared" si="2"/>
        <v>2397995612.0094047</v>
      </c>
      <c r="AB15" s="49">
        <v>1226822694.46</v>
      </c>
      <c r="AC15" s="48">
        <f>+AA15-AB15</f>
        <v>1171172917.5494046</v>
      </c>
    </row>
    <row r="16" spans="1:29" s="14" customFormat="1" ht="43.5" customHeight="1" x14ac:dyDescent="0.25">
      <c r="A16" s="29" t="s">
        <v>22</v>
      </c>
      <c r="B16" s="31" t="s">
        <v>8</v>
      </c>
      <c r="C16" s="68">
        <f>1428375935+15000000</f>
        <v>1443375935</v>
      </c>
      <c r="D16" s="68">
        <f>218481923+1</f>
        <v>218481924</v>
      </c>
      <c r="E16" s="68">
        <f t="shared" si="7"/>
        <v>1661857859</v>
      </c>
      <c r="F16" s="68">
        <v>193800150.84625</v>
      </c>
      <c r="G16" s="68">
        <v>1044158742.3199998</v>
      </c>
      <c r="H16" s="68">
        <f>F16+G16</f>
        <v>1237958893.1662498</v>
      </c>
      <c r="I16" s="67">
        <f>1129259515.74678+84847009.5458194+30246915.1204348</f>
        <v>1244353440.413034</v>
      </c>
      <c r="J16" s="78">
        <v>199281091.01413736</v>
      </c>
      <c r="K16" s="68">
        <f>I16+J16</f>
        <v>1443634531.4271712</v>
      </c>
      <c r="L16" s="68">
        <f>1332505528.62955-3397233.47/1.9558+6211503.72/1.9558</f>
        <v>1333944464.2313497</v>
      </c>
      <c r="M16" s="68">
        <v>1277276995.76</v>
      </c>
      <c r="N16" s="43"/>
      <c r="O16" s="39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6">
        <f t="shared" si="1"/>
        <v>2823460416.5652614</v>
      </c>
      <c r="AA16" s="46">
        <f t="shared" si="2"/>
        <v>2823503725.6012044</v>
      </c>
      <c r="AB16" s="49">
        <v>1216935553</v>
      </c>
      <c r="AC16" s="48">
        <f>+AA16-AB16</f>
        <v>1606568172.6012044</v>
      </c>
    </row>
    <row r="17" spans="1:29" s="14" customFormat="1" ht="29.25" customHeight="1" x14ac:dyDescent="0.25">
      <c r="A17" s="33" t="s">
        <v>17</v>
      </c>
      <c r="B17" s="31" t="s">
        <v>8</v>
      </c>
      <c r="C17" s="68">
        <v>102000000</v>
      </c>
      <c r="D17" s="68">
        <v>0</v>
      </c>
      <c r="E17" s="68">
        <f t="shared" si="7"/>
        <v>102000000</v>
      </c>
      <c r="F17" s="68">
        <v>6502500</v>
      </c>
      <c r="G17" s="68">
        <v>95497500</v>
      </c>
      <c r="H17" s="68">
        <f t="shared" si="5"/>
        <v>102000000</v>
      </c>
      <c r="I17" s="67">
        <v>102000000</v>
      </c>
      <c r="J17" s="78">
        <v>0</v>
      </c>
      <c r="K17" s="68">
        <f t="shared" si="6"/>
        <v>102000000</v>
      </c>
      <c r="L17" s="68">
        <f>102001564.57</f>
        <v>102001564.56999999</v>
      </c>
      <c r="M17" s="68">
        <v>102001564.57460579</v>
      </c>
      <c r="N17" s="43"/>
      <c r="O17" s="39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6">
        <f t="shared" si="1"/>
        <v>199491600</v>
      </c>
      <c r="AA17" s="46">
        <f t="shared" si="2"/>
        <v>199494660</v>
      </c>
      <c r="AB17" s="49"/>
      <c r="AC17" s="51"/>
    </row>
    <row r="18" spans="1:29" s="14" customFormat="1" ht="29.25" customHeight="1" x14ac:dyDescent="0.25">
      <c r="A18" s="29" t="s">
        <v>18</v>
      </c>
      <c r="B18" s="26" t="s">
        <v>8</v>
      </c>
      <c r="C18" s="68">
        <v>238398862</v>
      </c>
      <c r="D18" s="68">
        <v>42070389</v>
      </c>
      <c r="E18" s="68">
        <f t="shared" si="7"/>
        <v>280469251</v>
      </c>
      <c r="F18" s="68">
        <v>27968047.555</v>
      </c>
      <c r="G18" s="68">
        <v>157775245.17000002</v>
      </c>
      <c r="H18" s="68">
        <f t="shared" si="5"/>
        <v>185743292.72500002</v>
      </c>
      <c r="I18" s="67">
        <v>187444435.59878168</v>
      </c>
      <c r="J18" s="78">
        <v>33078429.811549705</v>
      </c>
      <c r="K18" s="68">
        <f t="shared" si="6"/>
        <v>220522865.41033137</v>
      </c>
      <c r="L18" s="68">
        <f>205642205.901344+8397116.92/1.9558-625400.94/1.9558</f>
        <v>209615882.13613284</v>
      </c>
      <c r="M18" s="68">
        <v>167880273.15000001</v>
      </c>
      <c r="N18" s="43"/>
      <c r="O18" s="39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6">
        <f t="shared" si="1"/>
        <v>431298620.1695261</v>
      </c>
      <c r="AA18" s="46">
        <f t="shared" si="2"/>
        <v>431305235.85548842</v>
      </c>
      <c r="AB18" s="49">
        <v>184210896</v>
      </c>
      <c r="AC18" s="48">
        <f>+AA18-AB18</f>
        <v>247094339.85548842</v>
      </c>
    </row>
    <row r="19" spans="1:29" s="14" customFormat="1" ht="29.25" customHeight="1" x14ac:dyDescent="0.25">
      <c r="A19" s="29" t="s">
        <v>19</v>
      </c>
      <c r="B19" s="26" t="s">
        <v>8</v>
      </c>
      <c r="C19" s="68">
        <f>104815264+19940383+18624211</f>
        <v>143379858</v>
      </c>
      <c r="D19" s="68">
        <v>18496812</v>
      </c>
      <c r="E19" s="68">
        <f t="shared" si="7"/>
        <v>161876670</v>
      </c>
      <c r="F19" s="68">
        <v>13723121.170000002</v>
      </c>
      <c r="G19" s="68">
        <v>128196577.57999995</v>
      </c>
      <c r="H19" s="68">
        <f t="shared" si="5"/>
        <v>141919698.74999994</v>
      </c>
      <c r="I19" s="67">
        <f>105333218.356067+35710296.7129045</f>
        <v>141043515.06897151</v>
      </c>
      <c r="J19" s="78">
        <v>18588215.004011773</v>
      </c>
      <c r="K19" s="68">
        <f>I19+J19</f>
        <v>159631730.07298329</v>
      </c>
      <c r="L19" s="68">
        <f>154698959.110356+9610218.9/1.9558-186144.28/1.9558</f>
        <v>159517485.86155757</v>
      </c>
      <c r="M19" s="68">
        <v>143075804.25999999</v>
      </c>
      <c r="N19" s="43"/>
      <c r="O19" s="39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6">
        <f t="shared" si="1"/>
        <v>312207737.67674071</v>
      </c>
      <c r="AA19" s="46">
        <f t="shared" si="2"/>
        <v>312212526.62864292</v>
      </c>
      <c r="AB19" s="49">
        <v>192103600.88</v>
      </c>
      <c r="AC19" s="53">
        <f>+AA19-AB19</f>
        <v>120108925.74864292</v>
      </c>
    </row>
    <row r="20" spans="1:29" s="12" customFormat="1" ht="29.25" customHeight="1" x14ac:dyDescent="0.25">
      <c r="A20" s="86" t="s">
        <v>20</v>
      </c>
      <c r="B20" s="87"/>
      <c r="C20" s="67">
        <f>+C5+C8+C11+C14+C15+C16+C17+C18+C19</f>
        <v>8102199852</v>
      </c>
      <c r="D20" s="67">
        <f>+D5+D8+D11+D14+D15+D16+D17+D18+D19</f>
        <v>1299138290</v>
      </c>
      <c r="E20" s="67">
        <f>+C20+D20</f>
        <v>9401338142</v>
      </c>
      <c r="F20" s="67">
        <f t="shared" ref="F20:M20" si="8">+F5+F8+F11+F14+F15+F16+F17+F18+F19</f>
        <v>1029065929.5862501</v>
      </c>
      <c r="G20" s="67">
        <f t="shared" si="8"/>
        <v>5068163091.8499994</v>
      </c>
      <c r="H20" s="67">
        <f t="shared" si="8"/>
        <v>6097229021.4362507</v>
      </c>
      <c r="I20" s="68">
        <f t="shared" si="8"/>
        <v>6284927163.457468</v>
      </c>
      <c r="J20" s="68">
        <f t="shared" si="8"/>
        <v>1013302186.9324371</v>
      </c>
      <c r="K20" s="68">
        <f t="shared" si="8"/>
        <v>7298229350.3899069</v>
      </c>
      <c r="L20" s="67">
        <f>+L5+L8+L11+L14+L15+L16+L17+L18+L19</f>
        <v>6515024060.7100716</v>
      </c>
      <c r="M20" s="67">
        <f t="shared" si="8"/>
        <v>5871679582.4646063</v>
      </c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54"/>
      <c r="AA20" s="55"/>
      <c r="AB20" s="50"/>
      <c r="AC20" s="47"/>
    </row>
    <row r="21" spans="1:29" s="12" customFormat="1" ht="29.25" customHeight="1" x14ac:dyDescent="0.2">
      <c r="A21" s="80" t="s">
        <v>23</v>
      </c>
      <c r="B21" s="81"/>
      <c r="C21" s="81"/>
      <c r="D21" s="81"/>
      <c r="E21" s="81"/>
      <c r="F21" s="81"/>
      <c r="G21" s="81"/>
      <c r="H21" s="21" t="s">
        <v>21</v>
      </c>
      <c r="I21" s="21"/>
      <c r="J21" s="21"/>
      <c r="K21" s="21"/>
      <c r="L21" s="21"/>
      <c r="M21" s="21"/>
      <c r="N21" s="27"/>
      <c r="O21" s="39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54"/>
      <c r="AA21" s="56"/>
      <c r="AB21" s="47"/>
      <c r="AC21" s="47"/>
    </row>
    <row r="22" spans="1:29" s="12" customFormat="1" ht="29.25" customHeight="1" x14ac:dyDescent="0.2">
      <c r="A22" s="61"/>
      <c r="B22" s="61"/>
      <c r="C22" s="62"/>
      <c r="D22" s="62"/>
      <c r="E22" s="62"/>
      <c r="F22" s="63"/>
      <c r="G22" s="63"/>
      <c r="H22" s="62"/>
      <c r="I22" s="62"/>
      <c r="J22" s="62"/>
      <c r="K22" s="62"/>
      <c r="L22" s="62"/>
      <c r="M22" s="62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54"/>
      <c r="AA22" s="57"/>
      <c r="AB22" s="47"/>
      <c r="AC22" s="47"/>
    </row>
    <row r="23" spans="1:29" s="12" customFormat="1" ht="29.25" customHeight="1" x14ac:dyDescent="0.2">
      <c r="A23" s="1"/>
      <c r="B23" s="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47"/>
      <c r="AA23" s="56"/>
      <c r="AB23" s="47"/>
      <c r="AC23" s="47"/>
    </row>
    <row r="24" spans="1:29" s="12" customFormat="1" ht="29.25" customHeight="1" x14ac:dyDescent="0.2">
      <c r="A24" s="1"/>
      <c r="B24" s="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47"/>
      <c r="AA24" s="56"/>
      <c r="AB24" s="47"/>
      <c r="AC24" s="47"/>
    </row>
    <row r="25" spans="1:29" s="12" customFormat="1" ht="29.25" customHeight="1" x14ac:dyDescent="0.2">
      <c r="A25" s="1"/>
      <c r="B25" s="1"/>
      <c r="C25" s="4"/>
      <c r="D25" s="4"/>
      <c r="E25" s="4"/>
      <c r="F25" s="59"/>
      <c r="G25" s="27"/>
      <c r="H25" s="4"/>
      <c r="I25" s="15"/>
      <c r="J25" s="4"/>
      <c r="K25" s="4"/>
      <c r="L25" s="18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47"/>
      <c r="AA25" s="56"/>
      <c r="AB25" s="47"/>
      <c r="AC25" s="47"/>
    </row>
    <row r="26" spans="1:29" s="12" customFormat="1" ht="29.25" customHeight="1" x14ac:dyDescent="0.2">
      <c r="A26" s="1"/>
      <c r="B26" s="1"/>
      <c r="C26" s="4"/>
      <c r="D26" s="4"/>
      <c r="E26" s="4"/>
      <c r="F26" s="59"/>
      <c r="G26" s="59"/>
      <c r="H26" s="4"/>
      <c r="I26" s="15"/>
      <c r="J26" s="4"/>
      <c r="K26" s="4"/>
      <c r="L26" s="1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47"/>
      <c r="AA26" s="56"/>
      <c r="AB26" s="47"/>
      <c r="AC26" s="47"/>
    </row>
    <row r="27" spans="1:29" s="12" customFormat="1" ht="29.25" customHeight="1" x14ac:dyDescent="0.2">
      <c r="A27" s="1"/>
      <c r="B27" s="1"/>
      <c r="C27" s="4"/>
      <c r="D27" s="4"/>
      <c r="E27" s="4"/>
      <c r="F27" s="59"/>
      <c r="G27" s="59"/>
      <c r="H27" s="4"/>
      <c r="I27" s="15"/>
      <c r="J27" s="4"/>
      <c r="K27" s="4"/>
      <c r="L27" s="18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47"/>
      <c r="AA27" s="58"/>
      <c r="AB27" s="47"/>
      <c r="AC27" s="47"/>
    </row>
    <row r="28" spans="1:29" s="12" customFormat="1" ht="29.25" customHeight="1" x14ac:dyDescent="0.25">
      <c r="A28" s="1"/>
      <c r="B28" s="1"/>
      <c r="C28" s="5"/>
      <c r="D28" s="5"/>
      <c r="E28" s="5"/>
      <c r="F28" s="60"/>
      <c r="G28" s="60"/>
      <c r="H28" s="5"/>
      <c r="I28" s="13"/>
      <c r="J28" s="13"/>
      <c r="K28" s="16"/>
      <c r="L28" s="18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47"/>
      <c r="AA28" s="47"/>
      <c r="AB28" s="47"/>
      <c r="AC28" s="47"/>
    </row>
    <row r="29" spans="1:29" s="12" customFormat="1" ht="29.25" customHeight="1" x14ac:dyDescent="0.25">
      <c r="A29" s="1"/>
      <c r="B29" s="1"/>
      <c r="C29" s="5"/>
      <c r="D29" s="5"/>
      <c r="E29" s="5"/>
      <c r="F29" s="60"/>
      <c r="G29" s="60"/>
      <c r="H29" s="5"/>
      <c r="I29" s="13"/>
      <c r="J29" s="13"/>
      <c r="K29" s="17"/>
      <c r="L29" s="18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47"/>
      <c r="AA29" s="47"/>
      <c r="AB29" s="47"/>
      <c r="AC29" s="47"/>
    </row>
    <row r="30" spans="1:29" x14ac:dyDescent="0.25">
      <c r="K30" s="17"/>
    </row>
    <row r="31" spans="1:29" x14ac:dyDescent="0.25">
      <c r="K31" s="17"/>
    </row>
    <row r="32" spans="1:29" x14ac:dyDescent="0.25">
      <c r="K32" s="17"/>
    </row>
    <row r="33" spans="11:11" x14ac:dyDescent="0.25">
      <c r="K33" s="17"/>
    </row>
    <row r="34" spans="11:11" x14ac:dyDescent="0.25">
      <c r="K34" s="17"/>
    </row>
    <row r="35" spans="11:11" x14ac:dyDescent="0.25">
      <c r="K35" s="17"/>
    </row>
  </sheetData>
  <mergeCells count="14"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6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Адрияна Димова</cp:lastModifiedBy>
  <cp:lastPrinted>2020-02-19T12:24:40Z</cp:lastPrinted>
  <dcterms:created xsi:type="dcterms:W3CDTF">2007-11-29T09:10:22Z</dcterms:created>
  <dcterms:modified xsi:type="dcterms:W3CDTF">2023-04-26T07:12:20Z</dcterms:modified>
</cp:coreProperties>
</file>