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Счетоводна отчетност\SPARVKI\SCF spravki\INTERNET\2014-2020\2023\02.2023\"/>
    </mc:Choice>
  </mc:AlternateContent>
  <bookViews>
    <workbookView xWindow="0" yWindow="0" windowWidth="14370" windowHeight="3675"/>
  </bookViews>
  <sheets>
    <sheet name="SCF_financial info_EUR_ENG" sheetId="5" r:id="rId1"/>
  </sheets>
  <definedNames>
    <definedName name="_xlnm.Print_Area" localSheetId="0">'SCF_financial info_EUR_ENG'!$A$1:$M$21</definedName>
  </definedNames>
  <calcPr calcId="162913"/>
</workbook>
</file>

<file path=xl/calcChain.xml><?xml version="1.0" encoding="utf-8"?>
<calcChain xmlns="http://schemas.openxmlformats.org/spreadsheetml/2006/main">
  <c r="L19" i="5" l="1"/>
  <c r="I19" i="5"/>
  <c r="K19" i="5" s="1"/>
  <c r="H19" i="5"/>
  <c r="C19" i="5"/>
  <c r="E19" i="5" s="1"/>
  <c r="L18" i="5"/>
  <c r="K18" i="5"/>
  <c r="H18" i="5"/>
  <c r="E18" i="5"/>
  <c r="L17" i="5"/>
  <c r="K17" i="5"/>
  <c r="H17" i="5"/>
  <c r="E17" i="5"/>
  <c r="L16" i="5"/>
  <c r="K16" i="5"/>
  <c r="I16" i="5"/>
  <c r="H16" i="5"/>
  <c r="D16" i="5"/>
  <c r="C16" i="5"/>
  <c r="E16" i="5" s="1"/>
  <c r="L15" i="5"/>
  <c r="K15" i="5"/>
  <c r="H15" i="5"/>
  <c r="C15" i="5"/>
  <c r="E15" i="5" s="1"/>
  <c r="L14" i="5"/>
  <c r="K14" i="5"/>
  <c r="I14" i="5"/>
  <c r="H14" i="5"/>
  <c r="C14" i="5"/>
  <c r="E14" i="5" s="1"/>
  <c r="L13" i="5"/>
  <c r="K13" i="5"/>
  <c r="I13" i="5"/>
  <c r="H13" i="5"/>
  <c r="C13" i="5"/>
  <c r="C11" i="5" s="1"/>
  <c r="L12" i="5"/>
  <c r="L11" i="5" s="1"/>
  <c r="K12" i="5"/>
  <c r="K11" i="5" s="1"/>
  <c r="H12" i="5"/>
  <c r="E12" i="5"/>
  <c r="M11" i="5"/>
  <c r="J11" i="5"/>
  <c r="I11" i="5"/>
  <c r="H11" i="5"/>
  <c r="G11" i="5"/>
  <c r="F11" i="5"/>
  <c r="D11" i="5"/>
  <c r="L10" i="5"/>
  <c r="K10" i="5"/>
  <c r="H10" i="5"/>
  <c r="H8" i="5" s="1"/>
  <c r="E10" i="5"/>
  <c r="L9" i="5"/>
  <c r="L8" i="5" s="1"/>
  <c r="K9" i="5"/>
  <c r="H9" i="5"/>
  <c r="E9" i="5"/>
  <c r="M8" i="5"/>
  <c r="K8" i="5"/>
  <c r="J8" i="5"/>
  <c r="I8" i="5"/>
  <c r="G8" i="5"/>
  <c r="F8" i="5"/>
  <c r="E8" i="5"/>
  <c r="D8" i="5"/>
  <c r="C8" i="5"/>
  <c r="L7" i="5"/>
  <c r="K7" i="5"/>
  <c r="H7" i="5"/>
  <c r="H5" i="5" s="1"/>
  <c r="E7" i="5"/>
  <c r="L6" i="5"/>
  <c r="K6" i="5"/>
  <c r="K5" i="5" s="1"/>
  <c r="K20" i="5" s="1"/>
  <c r="H6" i="5"/>
  <c r="E6" i="5"/>
  <c r="E5" i="5" s="1"/>
  <c r="M5" i="5"/>
  <c r="M20" i="5" s="1"/>
  <c r="L5" i="5"/>
  <c r="J5" i="5"/>
  <c r="J20" i="5" s="1"/>
  <c r="I5" i="5"/>
  <c r="I20" i="5" s="1"/>
  <c r="G5" i="5"/>
  <c r="G20" i="5" s="1"/>
  <c r="F5" i="5"/>
  <c r="F20" i="5" s="1"/>
  <c r="D5" i="5"/>
  <c r="D20" i="5" s="1"/>
  <c r="C5" i="5"/>
  <c r="C20" i="5" s="1"/>
  <c r="E20" i="5" s="1"/>
  <c r="L20" i="5" l="1"/>
  <c r="H20" i="5"/>
  <c r="E13" i="5"/>
  <c r="E11" i="5" s="1"/>
  <c r="AA8" i="5"/>
  <c r="AC8" i="5" s="1"/>
  <c r="AA9" i="5"/>
  <c r="AA10" i="5"/>
  <c r="AA12" i="5"/>
  <c r="AA13" i="5"/>
  <c r="AA14" i="5"/>
  <c r="AC14" i="5" s="1"/>
  <c r="AA15" i="5"/>
  <c r="AC15" i="5" s="1"/>
  <c r="AA16" i="5"/>
  <c r="AC16" i="5" s="1"/>
  <c r="AA17" i="5"/>
  <c r="AA18" i="5"/>
  <c r="AC18" i="5" s="1"/>
  <c r="AA19" i="5"/>
  <c r="AC19" i="5" s="1"/>
  <c r="Z8" i="5"/>
  <c r="Z9" i="5"/>
  <c r="Z10" i="5"/>
  <c r="Z12" i="5"/>
  <c r="Z13" i="5"/>
  <c r="Z14" i="5"/>
  <c r="Z15" i="5"/>
  <c r="Z16" i="5"/>
  <c r="Z17" i="5"/>
  <c r="Z18" i="5"/>
  <c r="Z19" i="5"/>
  <c r="AA11" i="5" l="1"/>
  <c r="AC11" i="5" s="1"/>
  <c r="Z11" i="5"/>
  <c r="AA6" i="5"/>
  <c r="Z7" i="5" l="1"/>
  <c r="AA7" i="5"/>
  <c r="AA5" i="5" s="1"/>
  <c r="AC5" i="5" s="1"/>
  <c r="Z6" i="5"/>
</calcChain>
</file>

<file path=xl/sharedStrings.xml><?xml version="1.0" encoding="utf-8"?>
<sst xmlns="http://schemas.openxmlformats.org/spreadsheetml/2006/main" count="47" uniqueCount="31">
  <si>
    <t xml:space="preserve">OP / FUND </t>
  </si>
  <si>
    <t>currency</t>
  </si>
  <si>
    <t xml:space="preserve">OP Budget - EC financing </t>
  </si>
  <si>
    <t>OP Budget - national Co-financing</t>
  </si>
  <si>
    <t>OP Budget  - Total</t>
  </si>
  <si>
    <t>EC part</t>
  </si>
  <si>
    <t>National Co-financing part</t>
  </si>
  <si>
    <t>1. OP Transport and Transport Infrastructure / ERDF &amp; CF</t>
  </si>
  <si>
    <t>Euro</t>
  </si>
  <si>
    <t>ERDF</t>
  </si>
  <si>
    <t>CF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</si>
  <si>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</si>
  <si>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</si>
  <si>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</si>
  <si>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</si>
  <si>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</si>
  <si>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</si>
  <si>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7. OP SME Initiative /ERDF</t>
  </si>
  <si>
    <t>8. OP Good Governance / ESF</t>
  </si>
  <si>
    <t>9. OP Fund for EU Aid for the most deprived</t>
  </si>
  <si>
    <t>Total</t>
  </si>
  <si>
    <t xml:space="preserve"> </t>
  </si>
  <si>
    <t>6. OP Innovation and Competitiveness 2014-2020  / ERDF *</t>
  </si>
  <si>
    <t xml:space="preserve">* payments made under the scheme BG16RFOP002-2.073 Support for micro and small enterprises to overcome the economic consequences of the COVID-19 pandemic are reported  </t>
  </si>
  <si>
    <t>Total pre-financing received from the EC up to 28.02.2023</t>
  </si>
  <si>
    <t>Funds received from the EC based on submitted applications for payment up to  28.02.2023</t>
  </si>
  <si>
    <t>Total funds received from the EC up to  28.02.2023</t>
  </si>
  <si>
    <t>Paid up to  28.02.2023</t>
  </si>
  <si>
    <t>Total paid up to 28.02.2023</t>
  </si>
  <si>
    <t>Total public expenditure declared to the EC with Payment claims
 as per  28.02.2023</t>
  </si>
  <si>
    <t>Total public expenditure certified to the EC with Annual Accounts 
as per  28.02.2023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</si>
</sst>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  <numFmt numFmtId="172" formatCode="#,##0\ [$€-1];\-#,##0\ [$€-1]"/>
  </numFmts>
  <fonts count="15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969696"/>
      <name val="Times New Roman"/>
      <family val="1"/>
      <charset val="204"/>
    </font>
    <font>
      <sz val="11"/>
      <color rgb="FF969696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horizontal="center" vertical="center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168" fontId="4" fillId="0" borderId="0" xfId="2" applyNumberFormat="1" applyFont="1" applyFill="1" applyBorder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8" fontId="4" fillId="2" borderId="0" xfId="2" applyNumberFormat="1" applyFont="1" applyFill="1" applyBorder="1" applyAlignment="1">
      <alignment horizontal="center"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0" fontId="8" fillId="2" borderId="1" xfId="0" applyNumberFormat="1" applyFont="1" applyFill="1" applyBorder="1" applyAlignment="1">
      <alignment horizontal="center" vertical="center"/>
    </xf>
    <xf numFmtId="170" fontId="7" fillId="2" borderId="1" xfId="0" applyNumberFormat="1" applyFont="1" applyFill="1" applyBorder="1" applyAlignment="1">
      <alignment horizontal="center" vertical="center"/>
    </xf>
    <xf numFmtId="3" fontId="8" fillId="2" borderId="1" xfId="1" applyNumberFormat="1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70" fontId="8" fillId="2" borderId="0" xfId="0" applyNumberFormat="1" applyFont="1" applyFill="1" applyBorder="1" applyAlignment="1">
      <alignment horizontal="center" vertical="center"/>
    </xf>
    <xf numFmtId="170" fontId="8" fillId="0" borderId="0" xfId="0" applyNumberFormat="1" applyFont="1" applyFill="1" applyBorder="1" applyAlignment="1">
      <alignment horizontal="center" vertical="center"/>
    </xf>
    <xf numFmtId="170" fontId="8" fillId="0" borderId="0" xfId="1" applyNumberFormat="1" applyFont="1" applyFill="1" applyBorder="1" applyAlignment="1">
      <alignment horizontal="right" vertical="center"/>
    </xf>
    <xf numFmtId="170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1" fillId="0" borderId="0" xfId="0" applyFont="1" applyFill="1" applyAlignment="1">
      <alignment horizontal="center" vertical="center"/>
    </xf>
    <xf numFmtId="3" fontId="10" fillId="0" borderId="0" xfId="0" applyNumberFormat="1" applyFont="1" applyFill="1"/>
    <xf numFmtId="0" fontId="10" fillId="0" borderId="0" xfId="0" applyFont="1" applyFill="1"/>
    <xf numFmtId="3" fontId="10" fillId="0" borderId="0" xfId="0" applyNumberFormat="1" applyFont="1" applyFill="1" applyAlignment="1">
      <alignment horizontal="center" vertical="center"/>
    </xf>
    <xf numFmtId="3" fontId="11" fillId="0" borderId="0" xfId="0" applyNumberFormat="1" applyFont="1" applyFill="1"/>
    <xf numFmtId="0" fontId="11" fillId="0" borderId="0" xfId="0" applyFont="1" applyFill="1"/>
    <xf numFmtId="0" fontId="10" fillId="0" borderId="0" xfId="0" applyFont="1" applyFill="1" applyAlignment="1">
      <alignment horizontal="center" vertical="center"/>
    </xf>
    <xf numFmtId="4" fontId="10" fillId="0" borderId="0" xfId="0" applyNumberFormat="1" applyFont="1" applyFill="1"/>
    <xf numFmtId="165" fontId="10" fillId="0" borderId="0" xfId="1" applyFont="1" applyFill="1" applyAlignment="1">
      <alignment horizontal="center" vertical="center"/>
    </xf>
    <xf numFmtId="10" fontId="10" fillId="0" borderId="0" xfId="0" applyNumberFormat="1" applyFont="1" applyFill="1"/>
    <xf numFmtId="3" fontId="10" fillId="2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0" fillId="4" borderId="0" xfId="0" applyFont="1" applyFill="1"/>
    <xf numFmtId="168" fontId="3" fillId="2" borderId="0" xfId="2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167" fontId="12" fillId="2" borderId="1" xfId="1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 wrapText="1"/>
    </xf>
    <xf numFmtId="168" fontId="7" fillId="0" borderId="0" xfId="2" applyNumberFormat="1" applyFont="1" applyFill="1" applyBorder="1" applyAlignment="1">
      <alignment horizontal="center" vertical="center" wrapText="1"/>
    </xf>
    <xf numFmtId="168" fontId="7" fillId="2" borderId="0" xfId="2" applyNumberFormat="1" applyFont="1" applyFill="1" applyBorder="1" applyAlignment="1">
      <alignment horizontal="center" vertical="center" wrapText="1"/>
    </xf>
    <xf numFmtId="167" fontId="1" fillId="2" borderId="1" xfId="1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170" fontId="5" fillId="2" borderId="1" xfId="0" applyNumberFormat="1" applyFont="1" applyFill="1" applyBorder="1" applyAlignment="1">
      <alignment horizontal="center" vertical="center"/>
    </xf>
    <xf numFmtId="168" fontId="5" fillId="2" borderId="1" xfId="0" applyNumberFormat="1" applyFont="1" applyFill="1" applyBorder="1" applyAlignment="1">
      <alignment horizontal="center" vertical="center"/>
    </xf>
    <xf numFmtId="168" fontId="5" fillId="2" borderId="3" xfId="0" applyNumberFormat="1" applyFont="1" applyFill="1" applyBorder="1" applyAlignment="1">
      <alignment horizontal="center" vertical="center"/>
    </xf>
    <xf numFmtId="168" fontId="3" fillId="2" borderId="3" xfId="0" applyNumberFormat="1" applyFont="1" applyFill="1" applyBorder="1" applyAlignment="1">
      <alignment horizontal="center" vertical="center"/>
    </xf>
    <xf numFmtId="168" fontId="3" fillId="2" borderId="1" xfId="1" applyNumberFormat="1" applyFont="1" applyFill="1" applyBorder="1" applyAlignment="1">
      <alignment horizontal="center" vertical="center" wrapText="1"/>
    </xf>
    <xf numFmtId="172" fontId="9" fillId="2" borderId="1" xfId="1" applyNumberFormat="1" applyFont="1" applyFill="1" applyBorder="1" applyAlignment="1">
      <alignment horizontal="right" vertical="center"/>
    </xf>
    <xf numFmtId="172" fontId="1" fillId="2" borderId="1" xfId="1" applyNumberFormat="1" applyFont="1" applyFill="1" applyBorder="1" applyAlignment="1">
      <alignment horizontal="right" vertical="center"/>
    </xf>
    <xf numFmtId="170" fontId="8" fillId="2" borderId="1" xfId="1" applyNumberFormat="1" applyFont="1" applyFill="1" applyBorder="1" applyAlignment="1">
      <alignment horizontal="right" vertical="center"/>
    </xf>
    <xf numFmtId="170" fontId="8" fillId="0" borderId="1" xfId="0" applyNumberFormat="1" applyFont="1" applyFill="1" applyBorder="1" applyAlignment="1">
      <alignment horizontal="center" vertical="center"/>
    </xf>
    <xf numFmtId="170" fontId="8" fillId="0" borderId="1" xfId="1" applyNumberFormat="1" applyFont="1" applyFill="1" applyBorder="1" applyAlignment="1">
      <alignment horizontal="right" vertical="center"/>
    </xf>
    <xf numFmtId="0" fontId="13" fillId="0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69696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tabSelected="1" view="pageBreakPreview" zoomScale="90" zoomScaleNormal="90" zoomScaleSheetLayoutView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:A3"/>
    </sheetView>
  </sheetViews>
  <sheetFormatPr defaultColWidth="9.140625" defaultRowHeight="15" outlineLevelRow="1" x14ac:dyDescent="0.25"/>
  <cols>
    <col min="1" max="1" width="34.7109375" style="13" customWidth="1"/>
    <col min="2" max="2" width="7.85546875" style="5" customWidth="1"/>
    <col min="3" max="3" width="17.5703125" style="5" customWidth="1"/>
    <col min="4" max="4" width="17.85546875" style="5" customWidth="1"/>
    <col min="5" max="5" width="19.7109375" style="5" customWidth="1"/>
    <col min="6" max="6" width="18.140625" style="64" customWidth="1"/>
    <col min="7" max="7" width="19.42578125" style="64" customWidth="1"/>
    <col min="8" max="8" width="16.7109375" style="5" customWidth="1"/>
    <col min="9" max="9" width="17.85546875" style="13" customWidth="1"/>
    <col min="10" max="10" width="16.7109375" style="13" customWidth="1"/>
    <col min="11" max="11" width="17.5703125" style="13" customWidth="1"/>
    <col min="12" max="12" width="19" style="19" customWidth="1"/>
    <col min="13" max="25" width="17.7109375" style="7" customWidth="1"/>
    <col min="26" max="26" width="25.5703125" style="54" customWidth="1"/>
    <col min="27" max="27" width="28.42578125" style="54" customWidth="1"/>
    <col min="28" max="28" width="13.5703125" style="54" customWidth="1"/>
    <col min="29" max="29" width="24.28515625" style="54" customWidth="1"/>
    <col min="30" max="16384" width="9.140625" style="13"/>
  </cols>
  <sheetData>
    <row r="1" spans="1:29" s="9" customFormat="1" ht="11.25" customHeight="1" x14ac:dyDescent="0.2">
      <c r="A1" s="1"/>
      <c r="B1" s="1"/>
      <c r="C1" s="2"/>
      <c r="D1" s="2"/>
      <c r="E1" s="2"/>
      <c r="F1" s="23"/>
      <c r="G1" s="23"/>
      <c r="H1" s="23"/>
      <c r="I1" s="24"/>
      <c r="J1" s="24"/>
      <c r="K1" s="24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48"/>
      <c r="AA1" s="48"/>
      <c r="AB1" s="48"/>
      <c r="AC1" s="48"/>
    </row>
    <row r="2" spans="1:29" s="10" customFormat="1" ht="12.75" customHeight="1" x14ac:dyDescent="0.25">
      <c r="A2" s="89" t="s">
        <v>0</v>
      </c>
      <c r="B2" s="90" t="s">
        <v>1</v>
      </c>
      <c r="C2" s="92" t="s">
        <v>2</v>
      </c>
      <c r="D2" s="92" t="s">
        <v>3</v>
      </c>
      <c r="E2" s="92" t="s">
        <v>4</v>
      </c>
      <c r="F2" s="85" t="s">
        <v>24</v>
      </c>
      <c r="G2" s="85" t="s">
        <v>25</v>
      </c>
      <c r="H2" s="85" t="s">
        <v>26</v>
      </c>
      <c r="I2" s="94" t="s">
        <v>27</v>
      </c>
      <c r="J2" s="95"/>
      <c r="K2" s="85" t="s">
        <v>28</v>
      </c>
      <c r="L2" s="83" t="s">
        <v>29</v>
      </c>
      <c r="M2" s="83" t="s">
        <v>30</v>
      </c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9"/>
      <c r="AA2" s="49"/>
      <c r="AB2" s="49"/>
      <c r="AC2" s="49"/>
    </row>
    <row r="3" spans="1:29" s="10" customFormat="1" ht="75" customHeight="1" x14ac:dyDescent="0.25">
      <c r="A3" s="89"/>
      <c r="B3" s="91"/>
      <c r="C3" s="93"/>
      <c r="D3" s="93"/>
      <c r="E3" s="93"/>
      <c r="F3" s="96"/>
      <c r="G3" s="96"/>
      <c r="H3" s="96"/>
      <c r="I3" s="35" t="s">
        <v>5</v>
      </c>
      <c r="J3" s="36" t="s">
        <v>6</v>
      </c>
      <c r="K3" s="86"/>
      <c r="L3" s="84"/>
      <c r="M3" s="84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9"/>
      <c r="AA3" s="49"/>
      <c r="AB3" s="49"/>
      <c r="AC3" s="49"/>
    </row>
    <row r="4" spans="1:29" s="10" customFormat="1" ht="18.75" customHeight="1" x14ac:dyDescent="0.2">
      <c r="A4" s="11">
        <v>1</v>
      </c>
      <c r="B4" s="3">
        <v>2</v>
      </c>
      <c r="C4" s="8">
        <v>3</v>
      </c>
      <c r="D4" s="3">
        <v>4</v>
      </c>
      <c r="E4" s="3">
        <v>5</v>
      </c>
      <c r="F4" s="26">
        <v>6</v>
      </c>
      <c r="G4" s="26">
        <v>7</v>
      </c>
      <c r="H4" s="26">
        <v>8</v>
      </c>
      <c r="I4" s="26">
        <v>9</v>
      </c>
      <c r="J4" s="26">
        <v>10</v>
      </c>
      <c r="K4" s="70">
        <v>11</v>
      </c>
      <c r="L4" s="70">
        <v>12</v>
      </c>
      <c r="M4" s="20">
        <v>13</v>
      </c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9"/>
      <c r="AA4" s="49"/>
      <c r="AB4" s="49"/>
      <c r="AC4" s="49"/>
    </row>
    <row r="5" spans="1:29" s="12" customFormat="1" ht="29.25" customHeight="1" x14ac:dyDescent="0.2">
      <c r="A5" s="30" t="s">
        <v>7</v>
      </c>
      <c r="B5" s="27" t="s">
        <v>8</v>
      </c>
      <c r="C5" s="21">
        <f>C6+C7</f>
        <v>1520755090</v>
      </c>
      <c r="D5" s="21">
        <f>D6+D7</f>
        <v>268368549</v>
      </c>
      <c r="E5" s="21">
        <f>E6+E7</f>
        <v>1789123639</v>
      </c>
      <c r="F5" s="21">
        <f t="shared" ref="F5:M5" si="0">F6+F7</f>
        <v>176293590.60999998</v>
      </c>
      <c r="G5" s="21">
        <f t="shared" si="0"/>
        <v>866313423.8499999</v>
      </c>
      <c r="H5" s="21">
        <f t="shared" si="0"/>
        <v>1042607014.4599998</v>
      </c>
      <c r="I5" s="38">
        <f>+I6+I7</f>
        <v>1042952512.967137</v>
      </c>
      <c r="J5" s="38">
        <f>+J6+J7</f>
        <v>184050443.46478888</v>
      </c>
      <c r="K5" s="21">
        <f>K6+K7</f>
        <v>1227002956.4319258</v>
      </c>
      <c r="L5" s="38">
        <f>L6+L7</f>
        <v>1124662788.1296458</v>
      </c>
      <c r="M5" s="21">
        <f t="shared" si="0"/>
        <v>993012301.25999999</v>
      </c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50"/>
      <c r="AA5" s="50">
        <f>+AA6+AA7</f>
        <v>2399809192.2782536</v>
      </c>
      <c r="AB5" s="51">
        <v>1461442349.48</v>
      </c>
      <c r="AC5" s="52">
        <f>+AA5-AB5</f>
        <v>938366842.79825354</v>
      </c>
    </row>
    <row r="6" spans="1:29" ht="29.25" customHeight="1" outlineLevel="1" x14ac:dyDescent="0.25">
      <c r="A6" s="31" t="s">
        <v>9</v>
      </c>
      <c r="B6" s="32" t="s">
        <v>8</v>
      </c>
      <c r="C6" s="39">
        <v>438611756</v>
      </c>
      <c r="D6" s="39">
        <v>77402076</v>
      </c>
      <c r="E6" s="37">
        <f>+C6+D6</f>
        <v>516013832</v>
      </c>
      <c r="F6" s="37">
        <v>61510576.303750001</v>
      </c>
      <c r="G6" s="79">
        <v>364356856.3599999</v>
      </c>
      <c r="H6" s="37">
        <f>F6+G6</f>
        <v>425867432.66374987</v>
      </c>
      <c r="I6" s="71">
        <v>408065119.6491369</v>
      </c>
      <c r="J6" s="72">
        <v>72011491.70278886</v>
      </c>
      <c r="K6" s="37">
        <f>+I6+J6</f>
        <v>480076611.35192573</v>
      </c>
      <c r="L6" s="37">
        <f>477609243.442335-2378.41/1.9558</f>
        <v>477608027.36195868</v>
      </c>
      <c r="M6" s="38">
        <v>471380477.5</v>
      </c>
      <c r="N6" s="44"/>
      <c r="O6" s="43"/>
      <c r="P6" s="44"/>
      <c r="Q6" s="44"/>
      <c r="R6" s="44"/>
      <c r="S6" s="44"/>
      <c r="T6" s="44"/>
      <c r="U6" s="44"/>
      <c r="V6" s="44"/>
      <c r="W6" s="44"/>
      <c r="X6" s="44"/>
      <c r="Y6" s="44"/>
      <c r="Z6" s="50">
        <f>+K6*1.9558</f>
        <v>938933836.48209631</v>
      </c>
      <c r="AA6" s="53">
        <f>+K6*1.95583</f>
        <v>938948238.78043687</v>
      </c>
    </row>
    <row r="7" spans="1:29" ht="29.25" customHeight="1" outlineLevel="1" x14ac:dyDescent="0.25">
      <c r="A7" s="31" t="s">
        <v>10</v>
      </c>
      <c r="B7" s="32" t="s">
        <v>8</v>
      </c>
      <c r="C7" s="39">
        <v>1082143334</v>
      </c>
      <c r="D7" s="39">
        <v>190966473</v>
      </c>
      <c r="E7" s="37">
        <f>+C7+D7</f>
        <v>1273109807</v>
      </c>
      <c r="F7" s="69">
        <v>114783014.30624999</v>
      </c>
      <c r="G7" s="79">
        <v>501956567.49000001</v>
      </c>
      <c r="H7" s="37">
        <f>F7+G7</f>
        <v>616739581.79624999</v>
      </c>
      <c r="I7" s="71">
        <v>634887393.31800008</v>
      </c>
      <c r="J7" s="72">
        <v>112038951.76200002</v>
      </c>
      <c r="K7" s="37">
        <f>+I7+J7</f>
        <v>746926345.08000016</v>
      </c>
      <c r="L7" s="37">
        <f>647654505.792741-1172981.32/1.9558</f>
        <v>647054760.7676872</v>
      </c>
      <c r="M7" s="38">
        <v>521631823.75999999</v>
      </c>
      <c r="N7" s="44"/>
      <c r="O7" s="43"/>
      <c r="P7" s="44"/>
      <c r="Q7" s="44"/>
      <c r="R7" s="44"/>
      <c r="S7" s="44"/>
      <c r="T7" s="44"/>
      <c r="U7" s="44"/>
      <c r="V7" s="44"/>
      <c r="W7" s="44"/>
      <c r="X7" s="44"/>
      <c r="Y7" s="44"/>
      <c r="Z7" s="50">
        <f t="shared" ref="Z7:Z19" si="1">+K7*1.9558</f>
        <v>1460838545.7074642</v>
      </c>
      <c r="AA7" s="53">
        <f t="shared" ref="AA7:AA19" si="2">+K7*1.95583</f>
        <v>1460860953.4978168</v>
      </c>
    </row>
    <row r="8" spans="1:29" s="12" customFormat="1" ht="29.25" customHeight="1" x14ac:dyDescent="0.2">
      <c r="A8" s="30" t="s">
        <v>11</v>
      </c>
      <c r="B8" s="27" t="s">
        <v>8</v>
      </c>
      <c r="C8" s="21">
        <f>C9+C10</f>
        <v>1474466160</v>
      </c>
      <c r="D8" s="21">
        <f t="shared" ref="D8:K8" si="3">D9+D10</f>
        <v>260199914</v>
      </c>
      <c r="E8" s="21">
        <f>E9+E10</f>
        <v>1734666074</v>
      </c>
      <c r="F8" s="21">
        <f t="shared" si="3"/>
        <v>147558105.94125</v>
      </c>
      <c r="G8" s="21">
        <f t="shared" si="3"/>
        <v>760830764.75</v>
      </c>
      <c r="H8" s="21">
        <f>H9+H10</f>
        <v>908388870.69125009</v>
      </c>
      <c r="I8" s="38">
        <f>+I9+I10</f>
        <v>948542451.65929842</v>
      </c>
      <c r="J8" s="38">
        <f>+J9+J10</f>
        <v>167389844.41046441</v>
      </c>
      <c r="K8" s="21">
        <f t="shared" si="3"/>
        <v>1115932296.0697627</v>
      </c>
      <c r="L8" s="38">
        <f>L9+L10</f>
        <v>946579225.49913538</v>
      </c>
      <c r="M8" s="21">
        <f>M9+M10</f>
        <v>785579840.74000001</v>
      </c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50">
        <f t="shared" si="1"/>
        <v>2182540384.6532421</v>
      </c>
      <c r="AA8" s="50">
        <f t="shared" si="2"/>
        <v>2182573862.6221237</v>
      </c>
      <c r="AB8" s="51">
        <v>942880842.37</v>
      </c>
      <c r="AC8" s="52">
        <f>+AA8-AB8</f>
        <v>1239693020.2521238</v>
      </c>
    </row>
    <row r="9" spans="1:29" ht="29.25" customHeight="1" outlineLevel="1" x14ac:dyDescent="0.25">
      <c r="A9" s="31" t="s">
        <v>9</v>
      </c>
      <c r="B9" s="32" t="s">
        <v>8</v>
      </c>
      <c r="C9" s="39">
        <v>349712078</v>
      </c>
      <c r="D9" s="39">
        <v>61713898</v>
      </c>
      <c r="E9" s="37">
        <f>+C9+D9</f>
        <v>411425976</v>
      </c>
      <c r="F9" s="71">
        <v>36031152.328749999</v>
      </c>
      <c r="G9" s="77">
        <v>183726894.56</v>
      </c>
      <c r="H9" s="37">
        <f>F9+G9</f>
        <v>219758046.88875002</v>
      </c>
      <c r="I9" s="71">
        <v>230582464.68054956</v>
      </c>
      <c r="J9" s="72">
        <v>40691023.178920507</v>
      </c>
      <c r="K9" s="37">
        <f>I9+J9</f>
        <v>271273487.85947007</v>
      </c>
      <c r="L9" s="37">
        <f>204560617.590967-(2059817.82/1.9558)</f>
        <v>203507433.30832052</v>
      </c>
      <c r="M9" s="37">
        <v>158566903.72</v>
      </c>
      <c r="N9" s="45"/>
      <c r="O9" s="43"/>
      <c r="P9" s="45"/>
      <c r="Q9" s="45"/>
      <c r="R9" s="45"/>
      <c r="S9" s="45"/>
      <c r="T9" s="45"/>
      <c r="U9" s="45"/>
      <c r="V9" s="45"/>
      <c r="W9" s="45"/>
      <c r="X9" s="45"/>
      <c r="Y9" s="45"/>
      <c r="Z9" s="50">
        <f t="shared" si="1"/>
        <v>530556687.55555153</v>
      </c>
      <c r="AA9" s="53">
        <f t="shared" si="2"/>
        <v>530564825.76018733</v>
      </c>
      <c r="AB9" s="53"/>
    </row>
    <row r="10" spans="1:29" ht="29.25" customHeight="1" outlineLevel="1" x14ac:dyDescent="0.25">
      <c r="A10" s="31" t="s">
        <v>10</v>
      </c>
      <c r="B10" s="32" t="s">
        <v>8</v>
      </c>
      <c r="C10" s="39">
        <v>1124754082</v>
      </c>
      <c r="D10" s="39">
        <v>198486016</v>
      </c>
      <c r="E10" s="37">
        <f>+C10+D10</f>
        <v>1323240098</v>
      </c>
      <c r="F10" s="71">
        <v>111526953.6125</v>
      </c>
      <c r="G10" s="77">
        <v>577103870.19000006</v>
      </c>
      <c r="H10" s="37">
        <f>F10+G10</f>
        <v>688630823.80250001</v>
      </c>
      <c r="I10" s="71">
        <v>717959986.9787488</v>
      </c>
      <c r="J10" s="72">
        <v>126698821.2315439</v>
      </c>
      <c r="K10" s="37">
        <f>I10+J10</f>
        <v>844658808.2102927</v>
      </c>
      <c r="L10" s="37">
        <f>745716493.755392-(5172507.32/1.9558)</f>
        <v>743071792.19081485</v>
      </c>
      <c r="M10" s="37">
        <v>627012937.01999998</v>
      </c>
      <c r="N10" s="45"/>
      <c r="O10" s="43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50">
        <f t="shared" si="1"/>
        <v>1651983697.0976903</v>
      </c>
      <c r="AA10" s="53">
        <f t="shared" si="2"/>
        <v>1652009036.8619368</v>
      </c>
      <c r="AB10" s="53"/>
    </row>
    <row r="11" spans="1:29" s="12" customFormat="1" ht="29.25" customHeight="1" x14ac:dyDescent="0.25">
      <c r="A11" s="30" t="s">
        <v>12</v>
      </c>
      <c r="B11" s="27" t="s">
        <v>8</v>
      </c>
      <c r="C11" s="21">
        <f>C12+C13</f>
        <v>595110177</v>
      </c>
      <c r="D11" s="21">
        <f t="shared" ref="D11:M11" si="4">D12+D13</f>
        <v>95133839</v>
      </c>
      <c r="E11" s="21">
        <f t="shared" si="4"/>
        <v>690244016</v>
      </c>
      <c r="F11" s="21">
        <f t="shared" si="4"/>
        <v>78731164.907499999</v>
      </c>
      <c r="G11" s="21">
        <f t="shared" si="4"/>
        <v>362849156.37</v>
      </c>
      <c r="H11" s="21">
        <f t="shared" si="4"/>
        <v>441580321.27750003</v>
      </c>
      <c r="I11" s="38">
        <f>+I12+I13</f>
        <v>494386717.41091478</v>
      </c>
      <c r="J11" s="38">
        <f>+J12+J13</f>
        <v>80465381.364835516</v>
      </c>
      <c r="K11" s="21">
        <f t="shared" si="4"/>
        <v>574852098.77575028</v>
      </c>
      <c r="L11" s="38">
        <f>L12+L13</f>
        <v>467309990.94702506</v>
      </c>
      <c r="M11" s="21">
        <f t="shared" si="4"/>
        <v>408661739.31999999</v>
      </c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50">
        <f t="shared" si="1"/>
        <v>1124295734.7856123</v>
      </c>
      <c r="AA11" s="50">
        <f t="shared" si="2"/>
        <v>1124312980.3485756</v>
      </c>
      <c r="AB11" s="53">
        <v>508734585.13999999</v>
      </c>
      <c r="AC11" s="52">
        <f>+AA11-AB11</f>
        <v>615578395.20857561</v>
      </c>
    </row>
    <row r="12" spans="1:29" s="14" customFormat="1" ht="29.25" customHeight="1" x14ac:dyDescent="0.25">
      <c r="A12" s="31" t="s">
        <v>13</v>
      </c>
      <c r="B12" s="32" t="s">
        <v>8</v>
      </c>
      <c r="C12" s="39">
        <v>186989211</v>
      </c>
      <c r="D12" s="39">
        <v>32998097</v>
      </c>
      <c r="E12" s="37">
        <f>+C12+D12</f>
        <v>219987308</v>
      </c>
      <c r="F12" s="37">
        <v>20725274.997499999</v>
      </c>
      <c r="G12" s="77">
        <v>83017596.169999987</v>
      </c>
      <c r="H12" s="37">
        <f t="shared" ref="H12:H19" si="5">F12+G12</f>
        <v>103742871.16749999</v>
      </c>
      <c r="I12" s="71">
        <v>123593649.28417495</v>
      </c>
      <c r="J12" s="73">
        <v>21810643.991324991</v>
      </c>
      <c r="K12" s="37">
        <f t="shared" ref="K12:K18" si="6">I12+J12</f>
        <v>145404293.27549994</v>
      </c>
      <c r="L12" s="80">
        <f>107546393.822339-(786940.5/1.9558)</f>
        <v>107144031.36196473</v>
      </c>
      <c r="M12" s="78">
        <v>93493944.829999998</v>
      </c>
      <c r="N12" s="46"/>
      <c r="O12" s="43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50">
        <f t="shared" si="1"/>
        <v>284381716.78822279</v>
      </c>
      <c r="AA12" s="53">
        <f t="shared" si="2"/>
        <v>284386078.91702104</v>
      </c>
      <c r="AB12" s="53"/>
      <c r="AC12" s="55"/>
    </row>
    <row r="13" spans="1:29" s="12" customFormat="1" ht="29.25" customHeight="1" x14ac:dyDescent="0.25">
      <c r="A13" s="31" t="s">
        <v>14</v>
      </c>
      <c r="B13" s="32" t="s">
        <v>8</v>
      </c>
      <c r="C13" s="39">
        <f>352102522+56018444</f>
        <v>408120966</v>
      </c>
      <c r="D13" s="39">
        <v>62135742</v>
      </c>
      <c r="E13" s="37">
        <f t="shared" ref="E13:E19" si="7">+C13+D13</f>
        <v>470256708</v>
      </c>
      <c r="F13" s="37">
        <v>58005889.910000004</v>
      </c>
      <c r="G13" s="76">
        <v>279831560.20000005</v>
      </c>
      <c r="H13" s="37">
        <f t="shared" si="5"/>
        <v>337837450.11000007</v>
      </c>
      <c r="I13" s="71">
        <f>332376845.11656+38416223.0101798</f>
        <v>370793068.1267398</v>
      </c>
      <c r="J13" s="72">
        <v>58654737.373510525</v>
      </c>
      <c r="K13" s="37">
        <f>I13+J13</f>
        <v>429447805.50025034</v>
      </c>
      <c r="L13" s="37">
        <f>360184717.433511-20340.5/1.9558-16346.1/1.9558</f>
        <v>360165959.5850603</v>
      </c>
      <c r="M13" s="37">
        <v>315167794.49000001</v>
      </c>
      <c r="N13" s="45"/>
      <c r="O13" s="43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50">
        <f t="shared" si="1"/>
        <v>839914017.99738955</v>
      </c>
      <c r="AA13" s="53">
        <f t="shared" si="2"/>
        <v>839926901.43155456</v>
      </c>
      <c r="AB13" s="53"/>
      <c r="AC13" s="56"/>
    </row>
    <row r="14" spans="1:29" s="14" customFormat="1" ht="29.25" customHeight="1" x14ac:dyDescent="0.25">
      <c r="A14" s="30" t="s">
        <v>15</v>
      </c>
      <c r="B14" s="27" t="s">
        <v>8</v>
      </c>
      <c r="C14" s="38">
        <f>1311704793+66095345</f>
        <v>1377800138</v>
      </c>
      <c r="D14" s="38">
        <v>231477320</v>
      </c>
      <c r="E14" s="21">
        <f t="shared" si="7"/>
        <v>1609277458</v>
      </c>
      <c r="F14" s="65">
        <v>170820505.10625002</v>
      </c>
      <c r="G14" s="38">
        <v>751211171.7900002</v>
      </c>
      <c r="H14" s="38">
        <f t="shared" si="5"/>
        <v>922031676.89625025</v>
      </c>
      <c r="I14" s="21">
        <f>1002731457.80998+2271059.58084292</f>
        <v>1005002517.390823</v>
      </c>
      <c r="J14" s="74">
        <v>176952610.20176056</v>
      </c>
      <c r="K14" s="38">
        <f t="shared" si="6"/>
        <v>1181955127.5925837</v>
      </c>
      <c r="L14" s="38">
        <f>967695569.169556+15138838.17/1.9558-2402850.3/1.9558-2743.54/1.9558</f>
        <v>974206073.47981274</v>
      </c>
      <c r="M14" s="38">
        <v>924831926.42999995</v>
      </c>
      <c r="N14" s="47"/>
      <c r="O14" s="43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50">
        <f t="shared" si="1"/>
        <v>2311667838.5455751</v>
      </c>
      <c r="AA14" s="50">
        <f t="shared" si="2"/>
        <v>2311703297.1994028</v>
      </c>
      <c r="AB14" s="53">
        <v>1591964903.49</v>
      </c>
      <c r="AC14" s="52">
        <f>+AA14-AB14</f>
        <v>719738393.7094028</v>
      </c>
    </row>
    <row r="15" spans="1:29" s="14" customFormat="1" ht="29.25" customHeight="1" x14ac:dyDescent="0.25">
      <c r="A15" s="33" t="s">
        <v>16</v>
      </c>
      <c r="B15" s="27" t="s">
        <v>8</v>
      </c>
      <c r="C15" s="38">
        <f>996896918+173640925+36375789</f>
        <v>1206913632</v>
      </c>
      <c r="D15" s="38">
        <v>164909543</v>
      </c>
      <c r="E15" s="38">
        <f>+C15+D15</f>
        <v>1371823175</v>
      </c>
      <c r="F15" s="38">
        <v>213668743.45000002</v>
      </c>
      <c r="G15" s="38">
        <v>891466744.17999995</v>
      </c>
      <c r="H15" s="38">
        <f t="shared" si="5"/>
        <v>1105135487.6299999</v>
      </c>
      <c r="I15" s="75">
        <v>1062829559.7075846</v>
      </c>
      <c r="J15" s="75">
        <v>147698080.75677136</v>
      </c>
      <c r="K15" s="38">
        <f t="shared" si="6"/>
        <v>1210527640.4643559</v>
      </c>
      <c r="L15" s="38">
        <f>1117502500.59107+82251884.29/1.9558-435626.68/1.9558+18166372.34/1.9558</f>
        <v>1168623591.679116</v>
      </c>
      <c r="M15" s="38">
        <v>1069359136.97</v>
      </c>
      <c r="N15" s="47"/>
      <c r="O15" s="43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50">
        <f t="shared" si="1"/>
        <v>2367549959.2201872</v>
      </c>
      <c r="AA15" s="50">
        <f t="shared" si="2"/>
        <v>2367586275.0494013</v>
      </c>
      <c r="AB15" s="53">
        <v>1226822694.46</v>
      </c>
      <c r="AC15" s="52">
        <f>+AA15-AB15</f>
        <v>1140763580.5894012</v>
      </c>
    </row>
    <row r="16" spans="1:29" s="14" customFormat="1" ht="43.5" customHeight="1" x14ac:dyDescent="0.25">
      <c r="A16" s="30" t="s">
        <v>22</v>
      </c>
      <c r="B16" s="32" t="s">
        <v>8</v>
      </c>
      <c r="C16" s="38">
        <f>1428375935+15000000</f>
        <v>1443375935</v>
      </c>
      <c r="D16" s="38">
        <f>218481923+1</f>
        <v>218481924</v>
      </c>
      <c r="E16" s="38">
        <f t="shared" si="7"/>
        <v>1661857859</v>
      </c>
      <c r="F16" s="38">
        <v>193800150.84625</v>
      </c>
      <c r="G16" s="38">
        <v>1044158742.3199998</v>
      </c>
      <c r="H16" s="38">
        <f>F16+G16</f>
        <v>1237958893.1662498</v>
      </c>
      <c r="I16" s="21">
        <f>1128772452.43938+84125561.8075191+30246915.1204348</f>
        <v>1243144929.3673339</v>
      </c>
      <c r="J16" s="74">
        <v>199195138.66577342</v>
      </c>
      <c r="K16" s="38">
        <f>I16+J16</f>
        <v>1442340068.0331073</v>
      </c>
      <c r="L16" s="38">
        <f>1332505528.62955-3397233.47/1.9558</f>
        <v>1330768524.0943215</v>
      </c>
      <c r="M16" s="38">
        <v>1277276995.76</v>
      </c>
      <c r="N16" s="47"/>
      <c r="O16" s="43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50">
        <f t="shared" si="1"/>
        <v>2820928705.0591512</v>
      </c>
      <c r="AA16" s="50">
        <f t="shared" si="2"/>
        <v>2820971975.2611923</v>
      </c>
      <c r="AB16" s="53">
        <v>1216935553</v>
      </c>
      <c r="AC16" s="52">
        <f>+AA16-AB16</f>
        <v>1604036422.2611923</v>
      </c>
    </row>
    <row r="17" spans="1:29" s="14" customFormat="1" ht="29.25" customHeight="1" x14ac:dyDescent="0.25">
      <c r="A17" s="34" t="s">
        <v>17</v>
      </c>
      <c r="B17" s="32" t="s">
        <v>8</v>
      </c>
      <c r="C17" s="38">
        <v>102000000</v>
      </c>
      <c r="D17" s="38">
        <v>0</v>
      </c>
      <c r="E17" s="38">
        <f t="shared" si="7"/>
        <v>102000000</v>
      </c>
      <c r="F17" s="38">
        <v>6502500</v>
      </c>
      <c r="G17" s="38">
        <v>95497500</v>
      </c>
      <c r="H17" s="38">
        <f t="shared" si="5"/>
        <v>102000000</v>
      </c>
      <c r="I17" s="21">
        <v>102000000</v>
      </c>
      <c r="J17" s="74">
        <v>0</v>
      </c>
      <c r="K17" s="38">
        <f t="shared" si="6"/>
        <v>102000000</v>
      </c>
      <c r="L17" s="38">
        <f>102001564.57</f>
        <v>102001564.56999999</v>
      </c>
      <c r="M17" s="38">
        <v>102001564.57460579</v>
      </c>
      <c r="N17" s="47"/>
      <c r="O17" s="43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50">
        <f t="shared" si="1"/>
        <v>199491600</v>
      </c>
      <c r="AA17" s="50">
        <f t="shared" si="2"/>
        <v>199494660</v>
      </c>
      <c r="AB17" s="53"/>
      <c r="AC17" s="55"/>
    </row>
    <row r="18" spans="1:29" s="14" customFormat="1" ht="29.25" customHeight="1" x14ac:dyDescent="0.25">
      <c r="A18" s="30" t="s">
        <v>18</v>
      </c>
      <c r="B18" s="27" t="s">
        <v>8</v>
      </c>
      <c r="C18" s="38">
        <v>238398862</v>
      </c>
      <c r="D18" s="38">
        <v>42070389</v>
      </c>
      <c r="E18" s="38">
        <f t="shared" si="7"/>
        <v>280469251</v>
      </c>
      <c r="F18" s="38">
        <v>27968047.555</v>
      </c>
      <c r="G18" s="38">
        <v>157775245.17000002</v>
      </c>
      <c r="H18" s="38">
        <f t="shared" si="5"/>
        <v>185743292.72500002</v>
      </c>
      <c r="I18" s="21">
        <v>185675168.40199053</v>
      </c>
      <c r="J18" s="74">
        <v>32766206.188586563</v>
      </c>
      <c r="K18" s="38">
        <f t="shared" si="6"/>
        <v>218441374.5905771</v>
      </c>
      <c r="L18" s="38">
        <f>205642205.901344+8397116.92/1.9558-625400.94/1.9558</f>
        <v>209615882.13613284</v>
      </c>
      <c r="M18" s="38">
        <v>167880273.15000001</v>
      </c>
      <c r="N18" s="47"/>
      <c r="O18" s="43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50">
        <f t="shared" si="1"/>
        <v>427227640.42425066</v>
      </c>
      <c r="AA18" s="50">
        <f t="shared" si="2"/>
        <v>427234193.66548836</v>
      </c>
      <c r="AB18" s="53">
        <v>184210896</v>
      </c>
      <c r="AC18" s="52">
        <f>+AA18-AB18</f>
        <v>243023297.66548836</v>
      </c>
    </row>
    <row r="19" spans="1:29" s="14" customFormat="1" ht="29.25" customHeight="1" x14ac:dyDescent="0.25">
      <c r="A19" s="30" t="s">
        <v>19</v>
      </c>
      <c r="B19" s="27" t="s">
        <v>8</v>
      </c>
      <c r="C19" s="38">
        <f>104815264+19940383+18624211</f>
        <v>143379858</v>
      </c>
      <c r="D19" s="38">
        <v>18496812</v>
      </c>
      <c r="E19" s="38">
        <f t="shared" si="7"/>
        <v>161876670</v>
      </c>
      <c r="F19" s="38">
        <v>13723121.170000002</v>
      </c>
      <c r="G19" s="38">
        <v>128196577.57999995</v>
      </c>
      <c r="H19" s="38">
        <f t="shared" si="5"/>
        <v>141919698.74999994</v>
      </c>
      <c r="I19" s="21">
        <f>105333218.356067+35710296.7129045</f>
        <v>141043515.06897151</v>
      </c>
      <c r="J19" s="74">
        <v>18588215.004011773</v>
      </c>
      <c r="K19" s="38">
        <f>I19+J19</f>
        <v>159631730.07298329</v>
      </c>
      <c r="L19" s="38">
        <f>154698959.110356+9610218.9/1.9558-186144.28/1.9558</f>
        <v>159517485.86155757</v>
      </c>
      <c r="M19" s="38">
        <v>143075804.25999999</v>
      </c>
      <c r="N19" s="47"/>
      <c r="O19" s="43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50">
        <f t="shared" si="1"/>
        <v>312207737.67674071</v>
      </c>
      <c r="AA19" s="50">
        <f t="shared" si="2"/>
        <v>312212526.62864292</v>
      </c>
      <c r="AB19" s="53">
        <v>192103600.88</v>
      </c>
      <c r="AC19" s="57">
        <f>+AA19-AB19</f>
        <v>120108925.74864292</v>
      </c>
    </row>
    <row r="20" spans="1:29" s="12" customFormat="1" ht="29.25" customHeight="1" x14ac:dyDescent="0.25">
      <c r="A20" s="87" t="s">
        <v>20</v>
      </c>
      <c r="B20" s="88"/>
      <c r="C20" s="21">
        <f>+C5+C8+C11+C14+C15+C16+C17+C18+C19</f>
        <v>8102199852</v>
      </c>
      <c r="D20" s="21">
        <f>+D5+D8+D11+D14+D15+D16+D17+D18+D19</f>
        <v>1299138290</v>
      </c>
      <c r="E20" s="21">
        <f>+C20+D20</f>
        <v>9401338142</v>
      </c>
      <c r="F20" s="21">
        <f t="shared" ref="F20:M20" si="8">+F5+F8+F11+F14+F15+F16+F17+F18+F19</f>
        <v>1029065929.5862501</v>
      </c>
      <c r="G20" s="21">
        <f t="shared" si="8"/>
        <v>5058299326.0100002</v>
      </c>
      <c r="H20" s="21">
        <f t="shared" si="8"/>
        <v>6087365255.5962505</v>
      </c>
      <c r="I20" s="38">
        <f t="shared" si="8"/>
        <v>6225577371.9740543</v>
      </c>
      <c r="J20" s="38">
        <f t="shared" si="8"/>
        <v>1007105920.0569924</v>
      </c>
      <c r="K20" s="38">
        <f t="shared" si="8"/>
        <v>7232683292.0310459</v>
      </c>
      <c r="L20" s="21">
        <f>+L5+L8+L11+L14+L15+L16+L17+L18+L19</f>
        <v>6483285126.3967476</v>
      </c>
      <c r="M20" s="21">
        <f t="shared" si="8"/>
        <v>5871679582.4646063</v>
      </c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58"/>
      <c r="AA20" s="59"/>
      <c r="AB20" s="54"/>
      <c r="AC20" s="51"/>
    </row>
    <row r="21" spans="1:29" s="12" customFormat="1" ht="29.25" customHeight="1" x14ac:dyDescent="0.2">
      <c r="A21" s="81" t="s">
        <v>23</v>
      </c>
      <c r="B21" s="82"/>
      <c r="C21" s="82"/>
      <c r="D21" s="82"/>
      <c r="E21" s="82"/>
      <c r="F21" s="82"/>
      <c r="G21" s="82"/>
      <c r="H21" s="22" t="s">
        <v>21</v>
      </c>
      <c r="I21" s="22"/>
      <c r="J21" s="22"/>
      <c r="K21" s="22"/>
      <c r="L21" s="22"/>
      <c r="M21" s="22"/>
      <c r="N21" s="28"/>
      <c r="O21" s="43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58"/>
      <c r="AA21" s="60"/>
      <c r="AB21" s="51"/>
      <c r="AC21" s="51"/>
    </row>
    <row r="22" spans="1:29" s="12" customFormat="1" ht="29.25" customHeight="1" x14ac:dyDescent="0.2">
      <c r="A22" s="66"/>
      <c r="B22" s="66"/>
      <c r="C22" s="67"/>
      <c r="D22" s="67"/>
      <c r="E22" s="67"/>
      <c r="F22" s="68"/>
      <c r="G22" s="68"/>
      <c r="H22" s="67"/>
      <c r="I22" s="67"/>
      <c r="J22" s="67"/>
      <c r="K22" s="67"/>
      <c r="L22" s="67"/>
      <c r="M22" s="67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58"/>
      <c r="AA22" s="61"/>
      <c r="AB22" s="51"/>
      <c r="AC22" s="51"/>
    </row>
    <row r="23" spans="1:29" s="12" customFormat="1" ht="29.25" customHeight="1" x14ac:dyDescent="0.2">
      <c r="A23" s="1"/>
      <c r="B23" s="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51"/>
      <c r="AA23" s="60"/>
      <c r="AB23" s="51"/>
      <c r="AC23" s="51"/>
    </row>
    <row r="24" spans="1:29" s="12" customFormat="1" ht="29.25" customHeight="1" x14ac:dyDescent="0.2">
      <c r="A24" s="1"/>
      <c r="B24" s="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51"/>
      <c r="AA24" s="60"/>
      <c r="AB24" s="51"/>
      <c r="AC24" s="51"/>
    </row>
    <row r="25" spans="1:29" s="12" customFormat="1" ht="29.25" customHeight="1" x14ac:dyDescent="0.2">
      <c r="A25" s="1"/>
      <c r="B25" s="1"/>
      <c r="C25" s="4"/>
      <c r="D25" s="4"/>
      <c r="E25" s="4"/>
      <c r="F25" s="63"/>
      <c r="G25" s="28"/>
      <c r="H25" s="4"/>
      <c r="I25" s="15"/>
      <c r="J25" s="4"/>
      <c r="K25" s="4"/>
      <c r="L25" s="18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51"/>
      <c r="AA25" s="60"/>
      <c r="AB25" s="51"/>
      <c r="AC25" s="51"/>
    </row>
    <row r="26" spans="1:29" s="12" customFormat="1" ht="29.25" customHeight="1" x14ac:dyDescent="0.2">
      <c r="A26" s="1"/>
      <c r="B26" s="1"/>
      <c r="C26" s="4"/>
      <c r="D26" s="4"/>
      <c r="E26" s="4"/>
      <c r="F26" s="63"/>
      <c r="G26" s="63"/>
      <c r="H26" s="4"/>
      <c r="I26" s="15"/>
      <c r="J26" s="4"/>
      <c r="K26" s="4"/>
      <c r="L26" s="18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51"/>
      <c r="AA26" s="60"/>
      <c r="AB26" s="51"/>
      <c r="AC26" s="51"/>
    </row>
    <row r="27" spans="1:29" s="12" customFormat="1" ht="29.25" customHeight="1" x14ac:dyDescent="0.2">
      <c r="A27" s="1"/>
      <c r="B27" s="1"/>
      <c r="C27" s="4"/>
      <c r="D27" s="4"/>
      <c r="E27" s="4"/>
      <c r="F27" s="63"/>
      <c r="G27" s="63"/>
      <c r="H27" s="4"/>
      <c r="I27" s="15"/>
      <c r="J27" s="4"/>
      <c r="K27" s="4"/>
      <c r="L27" s="18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51"/>
      <c r="AA27" s="62"/>
      <c r="AB27" s="51"/>
      <c r="AC27" s="51"/>
    </row>
    <row r="28" spans="1:29" s="12" customFormat="1" ht="29.25" customHeight="1" x14ac:dyDescent="0.25">
      <c r="A28" s="1"/>
      <c r="B28" s="1"/>
      <c r="C28" s="5"/>
      <c r="D28" s="5"/>
      <c r="E28" s="5"/>
      <c r="F28" s="64"/>
      <c r="G28" s="64"/>
      <c r="H28" s="5"/>
      <c r="I28" s="13"/>
      <c r="J28" s="13"/>
      <c r="K28" s="16"/>
      <c r="L28" s="18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51"/>
      <c r="AA28" s="51"/>
      <c r="AB28" s="51"/>
      <c r="AC28" s="51"/>
    </row>
    <row r="29" spans="1:29" s="12" customFormat="1" ht="29.25" customHeight="1" x14ac:dyDescent="0.25">
      <c r="A29" s="1"/>
      <c r="B29" s="1"/>
      <c r="C29" s="5"/>
      <c r="D29" s="5"/>
      <c r="E29" s="5"/>
      <c r="F29" s="64"/>
      <c r="G29" s="64"/>
      <c r="H29" s="5"/>
      <c r="I29" s="13"/>
      <c r="J29" s="13"/>
      <c r="K29" s="17"/>
      <c r="L29" s="18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51"/>
      <c r="AA29" s="51"/>
      <c r="AB29" s="51"/>
      <c r="AC29" s="51"/>
    </row>
    <row r="30" spans="1:29" x14ac:dyDescent="0.25">
      <c r="K30" s="17"/>
    </row>
    <row r="31" spans="1:29" x14ac:dyDescent="0.25">
      <c r="K31" s="17"/>
    </row>
    <row r="32" spans="1:29" x14ac:dyDescent="0.25">
      <c r="K32" s="17"/>
    </row>
    <row r="33" spans="11:11" x14ac:dyDescent="0.25">
      <c r="K33" s="17"/>
    </row>
    <row r="34" spans="11:11" x14ac:dyDescent="0.25">
      <c r="K34" s="17"/>
    </row>
    <row r="35" spans="11:11" x14ac:dyDescent="0.25">
      <c r="K35" s="17"/>
    </row>
  </sheetData>
  <mergeCells count="14"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6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</vt:lpstr>
      <vt:lpstr>'SCF_financial info_EUR_ENG'!Print_Area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Мартин Войнов</cp:lastModifiedBy>
  <cp:lastPrinted>2020-02-19T12:24:40Z</cp:lastPrinted>
  <dcterms:created xsi:type="dcterms:W3CDTF">2007-11-29T09:10:22Z</dcterms:created>
  <dcterms:modified xsi:type="dcterms:W3CDTF">2023-03-29T06:08:10Z</dcterms:modified>
</cp:coreProperties>
</file>