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140" windowWidth="13515" windowHeight="8325"/>
  </bookViews>
  <sheets>
    <sheet name="SCF_financial info_EUR_ENG" sheetId="5" r:id="rId1"/>
  </sheets>
  <externalReferences>
    <externalReference r:id="rId2"/>
  </externalReferences>
  <definedNames>
    <definedName name="_xlnm.Print_Area" localSheetId="0">'SCF_financial info_EUR_ENG'!$A$1:$M$23</definedName>
  </definedNames>
  <calcPr calcId="145621"/>
</workbook>
</file>

<file path=xl/calcChain.xml><?xml version="1.0" encoding="utf-8"?>
<calcChain xmlns="http://schemas.openxmlformats.org/spreadsheetml/2006/main">
  <c r="L19" i="5" l="1"/>
  <c r="L18" i="5"/>
  <c r="L16" i="5"/>
  <c r="L15" i="5"/>
  <c r="L14" i="5"/>
  <c r="L13" i="5"/>
  <c r="L11" i="5" s="1"/>
  <c r="L10" i="5"/>
  <c r="L9" i="5"/>
  <c r="L8" i="5"/>
  <c r="L7" i="5"/>
  <c r="L6" i="5"/>
  <c r="L5" i="5"/>
  <c r="L20" i="5" l="1"/>
  <c r="L22" i="5"/>
  <c r="K22" i="5"/>
  <c r="J23" i="5"/>
  <c r="I23" i="5"/>
  <c r="H23" i="5"/>
  <c r="G23" i="5"/>
  <c r="F22" i="5"/>
  <c r="E22" i="5"/>
  <c r="D22" i="5"/>
  <c r="C22" i="5"/>
  <c r="J19" i="5"/>
  <c r="J18" i="5"/>
  <c r="I18" i="5" s="1"/>
  <c r="J16" i="5"/>
  <c r="J14" i="5"/>
  <c r="J13" i="5"/>
  <c r="J12" i="5"/>
  <c r="J11" i="5" s="1"/>
  <c r="J10" i="5"/>
  <c r="J9" i="5"/>
  <c r="J8" i="5"/>
  <c r="J7" i="5"/>
  <c r="J6" i="5"/>
  <c r="J5" i="5"/>
  <c r="I19" i="5"/>
  <c r="I16" i="5"/>
  <c r="I14" i="5"/>
  <c r="I13" i="5"/>
  <c r="I10" i="5"/>
  <c r="I9" i="5"/>
  <c r="I8" i="5"/>
  <c r="I7" i="5"/>
  <c r="I6" i="5"/>
  <c r="K11" i="5"/>
  <c r="K8" i="5"/>
  <c r="K20" i="5" s="1"/>
  <c r="K5" i="5"/>
  <c r="G19" i="5"/>
  <c r="G18" i="5"/>
  <c r="G16" i="5"/>
  <c r="G15" i="5"/>
  <c r="G14" i="5"/>
  <c r="G13" i="5"/>
  <c r="G11" i="5" s="1"/>
  <c r="G10" i="5"/>
  <c r="G9" i="5"/>
  <c r="G8" i="5"/>
  <c r="G7" i="5"/>
  <c r="G6" i="5"/>
  <c r="G5" i="5"/>
  <c r="G20" i="5" s="1"/>
  <c r="J20" i="5" l="1"/>
  <c r="I5" i="5"/>
  <c r="I12" i="5"/>
  <c r="I11" i="5" s="1"/>
  <c r="N20" i="5"/>
  <c r="I20" i="5" l="1"/>
  <c r="M19" i="5"/>
  <c r="H19" i="5"/>
  <c r="E19" i="5"/>
  <c r="M18" i="5"/>
  <c r="H18" i="5"/>
  <c r="F18" i="5"/>
  <c r="C18" i="5"/>
  <c r="E18" i="5" s="1"/>
  <c r="M17" i="5"/>
  <c r="H17" i="5"/>
  <c r="E17" i="5"/>
  <c r="M16" i="5"/>
  <c r="F16" i="5"/>
  <c r="H16" i="5" s="1"/>
  <c r="E16" i="5"/>
  <c r="M15" i="5"/>
  <c r="H15" i="5"/>
  <c r="E15" i="5"/>
  <c r="M14" i="5"/>
  <c r="F14" i="5"/>
  <c r="H14" i="5" s="1"/>
  <c r="M13" i="5"/>
  <c r="F13" i="5"/>
  <c r="H13" i="5" s="1"/>
  <c r="E13" i="5"/>
  <c r="H12" i="5"/>
  <c r="F12" i="5"/>
  <c r="E12" i="5"/>
  <c r="M10" i="5"/>
  <c r="F10" i="5"/>
  <c r="H10" i="5" s="1"/>
  <c r="E10" i="5"/>
  <c r="M9" i="5"/>
  <c r="F9" i="5"/>
  <c r="H9" i="5" s="1"/>
  <c r="E9" i="5"/>
  <c r="H7" i="5"/>
  <c r="M6" i="5"/>
  <c r="F6" i="5"/>
  <c r="H6" i="5" s="1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D20" i="5" s="1"/>
  <c r="C5" i="5"/>
  <c r="C20" i="5" s="1"/>
  <c r="L24" i="5" l="1"/>
  <c r="M20" i="5"/>
  <c r="G22" i="5"/>
  <c r="E20" i="5"/>
  <c r="H20" i="5"/>
  <c r="F8" i="5"/>
  <c r="F20" i="5" s="1"/>
  <c r="H22" i="5" l="1"/>
  <c r="G24" i="5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<sst xmlns="http://schemas.openxmlformats.org/spreadsheetml/2006/main" count="45" uniqueCount="29">
  <si>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</si>
  <si>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</si>
  <si>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</si>
  <si>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</si>
  <si>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</si>
  <si>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</si>
  <si>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</si>
  <si>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</si>
  <si>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</si>
  <si>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</si>
  <si>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</si>
  <si>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</si>
  <si>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</si>
  <si>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</si>
  <si>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</si>
  <si>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</si>
  <si>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</si>
  <si>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</si>
  <si>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</si>
  <si>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</si>
  <si>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</si>
  <si>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</si>
  <si>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Funds received from the EC based on submitted applications for payment up to 31.12.2019</t>
  </si>
  <si>
    <t>Total funds received from the EC up to 31.12.2019</t>
  </si>
  <si>
    <t>Total paid up to 31.12.2019</t>
  </si>
  <si>
    <t>Total public expenditure certified to the EC with Annual Accounts 
as per 31.12.2019</t>
  </si>
  <si>
    <t>Total public expenditure declared to the EC with Payment claims
 as per 31.12.2019</t>
  </si>
  <si>
    <t>Total pre-financing received from the EC up to 31.12.2019</t>
  </si>
  <si>
    <t>Paid up to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</si>
</sst>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170" fontId="3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9" fillId="2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 wrapText="1"/>
    </xf>
    <xf numFmtId="170" fontId="9" fillId="0" borderId="1" xfId="0" applyNumberFormat="1" applyFont="1" applyFill="1" applyBorder="1" applyAlignment="1">
      <alignment horizontal="center" vertical="center"/>
    </xf>
    <xf numFmtId="172" fontId="10" fillId="2" borderId="1" xfId="1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right" vertical="center"/>
    </xf>
    <xf numFmtId="170" fontId="9" fillId="0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implementation-2014_2020_31122019_%20b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F_financial info_EUR_BUL"/>
    </sheetNames>
    <sheetDataSet>
      <sheetData sheetId="0">
        <row r="20">
          <cell r="D20">
            <v>1298072406</v>
          </cell>
          <cell r="E20">
            <v>8824178947</v>
          </cell>
          <cell r="F20">
            <v>534405015.40875</v>
          </cell>
          <cell r="G20">
            <v>2191753983.9200001</v>
          </cell>
          <cell r="H20">
            <v>2726158999.3287501</v>
          </cell>
          <cell r="I20">
            <v>3260491061.962039</v>
          </cell>
          <cell r="J20">
            <v>548962578.39141607</v>
          </cell>
          <cell r="K20">
            <v>3809453640.3534555</v>
          </cell>
          <cell r="L20">
            <v>2979497732.2234278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5" sqref="O15"/>
    </sheetView>
  </sheetViews>
  <sheetFormatPr defaultColWidth="9.140625" defaultRowHeight="15" outlineLevelRow="1" x14ac:dyDescent="0.25"/>
  <cols>
    <col min="1" max="1" width="34.7109375" style="14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4" customWidth="1"/>
    <col min="10" max="10" width="16.7109375" style="14" customWidth="1"/>
    <col min="11" max="11" width="17.5703125" style="14" customWidth="1"/>
    <col min="12" max="12" width="19" style="21" customWidth="1"/>
    <col min="13" max="13" width="17.7109375" style="7" customWidth="1"/>
    <col min="14" max="14" width="19.85546875" style="14" customWidth="1"/>
    <col min="15" max="15" width="28.42578125" style="14" customWidth="1"/>
    <col min="16" max="16" width="15.42578125" style="14" customWidth="1"/>
    <col min="17" max="17" width="22.28515625" style="14" customWidth="1"/>
    <col min="18" max="18" width="17.42578125" style="14" customWidth="1"/>
    <col min="19" max="19" width="13.5703125" style="14" customWidth="1"/>
    <col min="20" max="16384" width="9.140625" style="14"/>
  </cols>
  <sheetData>
    <row r="1" spans="1:20" s="9" customFormat="1" ht="11.25" customHeight="1" x14ac:dyDescent="0.2">
      <c r="A1" s="1"/>
      <c r="B1" s="1"/>
      <c r="C1" s="2"/>
      <c r="D1" s="2"/>
      <c r="E1" s="2"/>
      <c r="F1" s="28"/>
      <c r="G1" s="28"/>
      <c r="H1" s="28"/>
      <c r="I1" s="29"/>
      <c r="J1" s="29"/>
      <c r="K1" s="29"/>
      <c r="L1" s="30"/>
      <c r="M1" s="30"/>
    </row>
    <row r="2" spans="1:20" s="10" customFormat="1" ht="12.75" customHeight="1" x14ac:dyDescent="0.25">
      <c r="A2" s="78" t="s">
        <v>0</v>
      </c>
      <c r="B2" s="79" t="s">
        <v>1</v>
      </c>
      <c r="C2" s="81" t="s">
        <v>2</v>
      </c>
      <c r="D2" s="81" t="s">
        <v>3</v>
      </c>
      <c r="E2" s="81" t="s">
        <v>4</v>
      </c>
      <c r="F2" s="74" t="s">
        <v>27</v>
      </c>
      <c r="G2" s="74" t="s">
        <v>22</v>
      </c>
      <c r="H2" s="74" t="s">
        <v>23</v>
      </c>
      <c r="I2" s="83" t="s">
        <v>28</v>
      </c>
      <c r="J2" s="84"/>
      <c r="K2" s="74" t="s">
        <v>24</v>
      </c>
      <c r="L2" s="72" t="s">
        <v>26</v>
      </c>
      <c r="M2" s="72" t="s">
        <v>25</v>
      </c>
    </row>
    <row r="3" spans="1:20" s="10" customFormat="1" ht="75" customHeight="1" x14ac:dyDescent="0.2">
      <c r="A3" s="78"/>
      <c r="B3" s="80"/>
      <c r="C3" s="82"/>
      <c r="D3" s="82"/>
      <c r="E3" s="82"/>
      <c r="F3" s="85"/>
      <c r="G3" s="85"/>
      <c r="H3" s="85"/>
      <c r="I3" s="47" t="s">
        <v>5</v>
      </c>
      <c r="J3" s="48" t="s">
        <v>6</v>
      </c>
      <c r="K3" s="75"/>
      <c r="L3" s="73"/>
      <c r="M3" s="73"/>
    </row>
    <row r="4" spans="1:20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31">
        <v>6</v>
      </c>
      <c r="G4" s="31">
        <v>7</v>
      </c>
      <c r="H4" s="31">
        <v>8</v>
      </c>
      <c r="I4" s="31">
        <v>9</v>
      </c>
      <c r="J4" s="22">
        <v>10</v>
      </c>
      <c r="K4" s="22">
        <v>11</v>
      </c>
      <c r="L4" s="22">
        <v>12</v>
      </c>
      <c r="M4" s="22">
        <v>13</v>
      </c>
    </row>
    <row r="5" spans="1:20" s="13" customFormat="1" ht="29.25" customHeight="1" x14ac:dyDescent="0.2">
      <c r="A5" s="40" t="s">
        <v>7</v>
      </c>
      <c r="B5" s="36" t="s">
        <v>8</v>
      </c>
      <c r="C5" s="23">
        <f>C6+C7</f>
        <v>1604449168</v>
      </c>
      <c r="D5" s="23">
        <f>D6+D7</f>
        <v>283138092</v>
      </c>
      <c r="E5" s="23">
        <f t="shared" ref="E5:M5" si="0">E6+E7</f>
        <v>1887587260</v>
      </c>
      <c r="F5" s="56">
        <f t="shared" si="0"/>
        <v>111966236.22999999</v>
      </c>
      <c r="G5" s="56">
        <f t="shared" si="0"/>
        <v>426714190.82000005</v>
      </c>
      <c r="H5" s="56">
        <f t="shared" si="0"/>
        <v>538680427.04999995</v>
      </c>
      <c r="I5" s="56">
        <f t="shared" si="0"/>
        <v>637703973.94390643</v>
      </c>
      <c r="J5" s="56">
        <f t="shared" si="0"/>
        <v>112535995.40186583</v>
      </c>
      <c r="K5" s="56">
        <f>K6+K7</f>
        <v>750239969.34577227</v>
      </c>
      <c r="L5" s="49">
        <f t="shared" ref="L5" si="1">L6+L7</f>
        <v>555267819.16881657</v>
      </c>
      <c r="M5" s="23">
        <f t="shared" si="0"/>
        <v>297586363.59070355</v>
      </c>
      <c r="N5" s="12"/>
      <c r="O5" s="12"/>
      <c r="P5" s="12"/>
      <c r="Q5" s="12"/>
    </row>
    <row r="6" spans="1:20" ht="29.25" customHeight="1" outlineLevel="1" x14ac:dyDescent="0.25">
      <c r="A6" s="41" t="s">
        <v>9</v>
      </c>
      <c r="B6" s="42" t="s">
        <v>8</v>
      </c>
      <c r="C6" s="69">
        <v>459761907</v>
      </c>
      <c r="D6" s="69">
        <v>81134456</v>
      </c>
      <c r="E6" s="58">
        <f>+C6+D6</f>
        <v>540896363</v>
      </c>
      <c r="F6" s="58">
        <f>33105127.97+6324688</f>
        <v>39429815.969999999</v>
      </c>
      <c r="G6" s="58">
        <f>218928923.24+12811688.24+10940186.05</f>
        <v>242680797.53000003</v>
      </c>
      <c r="H6" s="58">
        <f>F6+G6</f>
        <v>282110613.5</v>
      </c>
      <c r="I6" s="58">
        <f>K6-J6</f>
        <v>324688133.17633879</v>
      </c>
      <c r="J6" s="65">
        <f>K6*15%</f>
        <v>57297905.854648016</v>
      </c>
      <c r="K6" s="58">
        <v>381986039.03098679</v>
      </c>
      <c r="L6" s="58">
        <f>285679947.397342+32754378.95/1.9558+27969694.03/1.9558</f>
        <v>316728149.14598709</v>
      </c>
      <c r="M6" s="58">
        <f>98656531.13+138917563.52/1.9558</f>
        <v>169685043.0023796</v>
      </c>
      <c r="N6" s="12"/>
      <c r="O6" s="12"/>
      <c r="P6" s="12"/>
      <c r="Q6" s="25"/>
      <c r="R6" s="26"/>
    </row>
    <row r="7" spans="1:20" ht="29.25" customHeight="1" outlineLevel="1" x14ac:dyDescent="0.25">
      <c r="A7" s="41" t="s">
        <v>10</v>
      </c>
      <c r="B7" s="42" t="s">
        <v>8</v>
      </c>
      <c r="C7" s="69">
        <v>1144687261</v>
      </c>
      <c r="D7" s="69">
        <v>202003636</v>
      </c>
      <c r="E7" s="58">
        <v>1346690897</v>
      </c>
      <c r="F7" s="58">
        <v>72536420.25999999</v>
      </c>
      <c r="G7" s="58">
        <f>176064173.58+7825488.07+143731.64</f>
        <v>184033393.28999999</v>
      </c>
      <c r="H7" s="58">
        <f>F7+G7</f>
        <v>256569813.54999998</v>
      </c>
      <c r="I7" s="58">
        <f>K7-J7</f>
        <v>313015840.76756763</v>
      </c>
      <c r="J7" s="65">
        <f>K7*15%</f>
        <v>55238089.547217809</v>
      </c>
      <c r="K7" s="58">
        <v>368253930.31478542</v>
      </c>
      <c r="L7" s="58">
        <f>228122389.355072+20006653.05/1.9558+367464.48/1.9558</f>
        <v>238539670.02282944</v>
      </c>
      <c r="M7" s="58">
        <v>127901320.58832397</v>
      </c>
      <c r="N7" s="12"/>
      <c r="O7" s="12"/>
      <c r="P7" s="12"/>
      <c r="Q7" s="25"/>
      <c r="R7" s="26"/>
    </row>
    <row r="8" spans="1:20" s="13" customFormat="1" ht="29.25" customHeight="1" x14ac:dyDescent="0.25">
      <c r="A8" s="40" t="s">
        <v>11</v>
      </c>
      <c r="B8" s="36" t="s">
        <v>8</v>
      </c>
      <c r="C8" s="23">
        <f>C9+C10</f>
        <v>1504824141</v>
      </c>
      <c r="D8" s="23">
        <f t="shared" ref="D8:M8" si="2">D9+D10</f>
        <v>265557204</v>
      </c>
      <c r="E8" s="23">
        <f t="shared" si="2"/>
        <v>1770381345</v>
      </c>
      <c r="F8" s="23">
        <f t="shared" si="2"/>
        <v>91164511.430000007</v>
      </c>
      <c r="G8" s="23">
        <f t="shared" si="2"/>
        <v>236831464.57000002</v>
      </c>
      <c r="H8" s="23">
        <f t="shared" si="2"/>
        <v>327995976</v>
      </c>
      <c r="I8" s="23">
        <f t="shared" si="2"/>
        <v>406750393.78273153</v>
      </c>
      <c r="J8" s="23">
        <f t="shared" si="2"/>
        <v>71779481.255776152</v>
      </c>
      <c r="K8" s="23">
        <f t="shared" si="2"/>
        <v>478529875.0385077</v>
      </c>
      <c r="L8" s="59">
        <f t="shared" si="2"/>
        <v>418494984.61863363</v>
      </c>
      <c r="M8" s="23">
        <f t="shared" si="2"/>
        <v>97725777.545104817</v>
      </c>
      <c r="N8" s="12"/>
      <c r="O8" s="12"/>
      <c r="P8" s="12"/>
      <c r="Q8" s="12"/>
      <c r="R8" s="26"/>
    </row>
    <row r="9" spans="1:20" ht="29.25" customHeight="1" outlineLevel="1" x14ac:dyDescent="0.25">
      <c r="A9" s="41" t="s">
        <v>9</v>
      </c>
      <c r="B9" s="42" t="s">
        <v>8</v>
      </c>
      <c r="C9" s="62">
        <v>371204258</v>
      </c>
      <c r="D9" s="62">
        <v>65506635</v>
      </c>
      <c r="E9" s="63">
        <f t="shared" ref="E9:E10" si="3">+C9+D9</f>
        <v>436710893</v>
      </c>
      <c r="F9" s="58">
        <f>21007511.39+773095.73</f>
        <v>21780607.120000001</v>
      </c>
      <c r="G9" s="64">
        <f>48553778.34+3342740.94+3940639.14+2131465.32</f>
        <v>57968623.740000002</v>
      </c>
      <c r="H9" s="58">
        <f>F9+G9</f>
        <v>79749230.859999999</v>
      </c>
      <c r="I9" s="32">
        <f t="shared" ref="I9:I14" si="4">K9-J9</f>
        <v>80627230.022132739</v>
      </c>
      <c r="J9" s="57">
        <f t="shared" ref="J9:J14" si="5">K9*15%</f>
        <v>14228334.709788131</v>
      </c>
      <c r="K9" s="32">
        <v>94855564.731920868</v>
      </c>
      <c r="L9" s="58">
        <f>67838362.7789088+10074643.21/1.9558+7058175.18</f>
        <v>80047700.250554174</v>
      </c>
      <c r="M9" s="63">
        <f>11106979.35+7752577.57/1.9558</f>
        <v>15070870.121039983</v>
      </c>
      <c r="N9" s="12"/>
      <c r="O9" s="12"/>
      <c r="P9" s="12"/>
      <c r="Q9" s="25"/>
      <c r="R9" s="26"/>
      <c r="S9" s="15"/>
    </row>
    <row r="10" spans="1:20" ht="29.25" customHeight="1" outlineLevel="1" x14ac:dyDescent="0.25">
      <c r="A10" s="41" t="s">
        <v>10</v>
      </c>
      <c r="B10" s="42" t="s">
        <v>8</v>
      </c>
      <c r="C10" s="62">
        <v>1133619883</v>
      </c>
      <c r="D10" s="62">
        <v>200050569</v>
      </c>
      <c r="E10" s="63">
        <f t="shared" si="3"/>
        <v>1333670452</v>
      </c>
      <c r="F10" s="58">
        <f>63051041.76+6332862.55</f>
        <v>69383904.310000002</v>
      </c>
      <c r="G10" s="64">
        <f>155108172.68+9098886.72+6814270.81+7841510.62</f>
        <v>178862840.83000001</v>
      </c>
      <c r="H10" s="58">
        <f>F10+G10</f>
        <v>248246745.14000002</v>
      </c>
      <c r="I10" s="32">
        <f t="shared" si="4"/>
        <v>326123163.76059878</v>
      </c>
      <c r="J10" s="57">
        <f t="shared" si="5"/>
        <v>57551146.545988016</v>
      </c>
      <c r="K10" s="32">
        <v>383674310.3065868</v>
      </c>
      <c r="L10" s="58">
        <f>214328285.835795+17421373.66/1.9558+115211454.99</f>
        <v>338447284.36807948</v>
      </c>
      <c r="M10" s="63">
        <f>23431712.67+115828724.3/1.9558</f>
        <v>82654907.42406483</v>
      </c>
      <c r="N10" s="12"/>
      <c r="O10" s="12"/>
      <c r="P10" s="12"/>
      <c r="Q10" s="25"/>
      <c r="R10" s="26"/>
      <c r="S10" s="15"/>
    </row>
    <row r="11" spans="1:20" s="13" customFormat="1" ht="29.25" customHeight="1" x14ac:dyDescent="0.25">
      <c r="A11" s="40" t="s">
        <v>12</v>
      </c>
      <c r="B11" s="36" t="s">
        <v>8</v>
      </c>
      <c r="C11" s="23">
        <f>C12+C13</f>
        <v>552540872</v>
      </c>
      <c r="D11" s="23">
        <f t="shared" ref="D11:M11" si="6">D12+D13</f>
        <v>97507215</v>
      </c>
      <c r="E11" s="23">
        <f t="shared" si="6"/>
        <v>650048087</v>
      </c>
      <c r="F11" s="23">
        <f t="shared" si="6"/>
        <v>33890930.167500004</v>
      </c>
      <c r="G11" s="23">
        <f t="shared" si="6"/>
        <v>108459299.38000001</v>
      </c>
      <c r="H11" s="23">
        <f t="shared" si="6"/>
        <v>142350229.54750001</v>
      </c>
      <c r="I11" s="23">
        <f t="shared" si="6"/>
        <v>217668944.87167364</v>
      </c>
      <c r="J11" s="23">
        <f t="shared" si="6"/>
        <v>38412166.74206005</v>
      </c>
      <c r="K11" s="23">
        <f t="shared" si="6"/>
        <v>256081111.61373368</v>
      </c>
      <c r="L11" s="59">
        <f t="shared" si="6"/>
        <v>175247064.03136969</v>
      </c>
      <c r="M11" s="23">
        <f t="shared" si="6"/>
        <v>25578835.080274057</v>
      </c>
      <c r="N11" s="12"/>
      <c r="O11" s="12"/>
      <c r="P11" s="12"/>
      <c r="Q11" s="12"/>
      <c r="R11" s="26"/>
      <c r="S11" s="15"/>
    </row>
    <row r="12" spans="1:20" s="16" customFormat="1" ht="29.25" customHeight="1" x14ac:dyDescent="0.25">
      <c r="A12" s="41" t="s">
        <v>13</v>
      </c>
      <c r="B12" s="42" t="s">
        <v>8</v>
      </c>
      <c r="C12" s="62">
        <v>199921329</v>
      </c>
      <c r="D12" s="62">
        <v>35280235</v>
      </c>
      <c r="E12" s="63">
        <f t="shared" ref="E12:E19" si="7">+C12+D12</f>
        <v>235201564</v>
      </c>
      <c r="F12" s="58">
        <f>12266222.0075</f>
        <v>12266222.0075</v>
      </c>
      <c r="G12" s="66">
        <v>10111846.859999999</v>
      </c>
      <c r="H12" s="58">
        <f t="shared" ref="H12:H19" si="8">F12+G12</f>
        <v>22378068.8675</v>
      </c>
      <c r="I12" s="32">
        <f t="shared" si="4"/>
        <v>57640273.937715307</v>
      </c>
      <c r="J12" s="60">
        <f t="shared" si="5"/>
        <v>10171813.047832113</v>
      </c>
      <c r="K12" s="32">
        <v>67812086.985547423</v>
      </c>
      <c r="L12" s="61">
        <v>30859336.48</v>
      </c>
      <c r="M12" s="67">
        <v>0</v>
      </c>
      <c r="N12" s="12"/>
      <c r="O12" s="12"/>
      <c r="P12" s="12"/>
      <c r="Q12" s="12"/>
      <c r="R12" s="26"/>
      <c r="S12" s="15"/>
    </row>
    <row r="13" spans="1:20" s="13" customFormat="1" ht="29.25" customHeight="1" x14ac:dyDescent="0.25">
      <c r="A13" s="41" t="s">
        <v>14</v>
      </c>
      <c r="B13" s="42" t="s">
        <v>8</v>
      </c>
      <c r="C13" s="62">
        <v>352619543</v>
      </c>
      <c r="D13" s="62">
        <v>62226980</v>
      </c>
      <c r="E13" s="63">
        <f t="shared" si="7"/>
        <v>414846523</v>
      </c>
      <c r="F13" s="58">
        <f>19059752.41+2564955.75</f>
        <v>21624708.16</v>
      </c>
      <c r="G13" s="64">
        <f>87183594.78+1593236.14+3689375.84+5881245.76</f>
        <v>98347452.520000011</v>
      </c>
      <c r="H13" s="58">
        <f t="shared" si="8"/>
        <v>119972160.68000001</v>
      </c>
      <c r="I13" s="32">
        <f t="shared" si="4"/>
        <v>160028670.93395832</v>
      </c>
      <c r="J13" s="57">
        <f t="shared" si="5"/>
        <v>28240353.694227938</v>
      </c>
      <c r="K13" s="32">
        <v>188269024.62818626</v>
      </c>
      <c r="L13" s="58">
        <f>116017311.846814+9432263.17/1.9558+23547702.15</f>
        <v>144387727.5513697</v>
      </c>
      <c r="M13" s="63">
        <f>50027085.65/1.9558</f>
        <v>25578835.080274057</v>
      </c>
      <c r="N13" s="12"/>
      <c r="O13" s="12"/>
      <c r="P13" s="12"/>
      <c r="Q13" s="25"/>
      <c r="R13" s="26"/>
      <c r="S13" s="15"/>
      <c r="T13" s="24"/>
    </row>
    <row r="14" spans="1:20" s="16" customFormat="1" ht="29.25" customHeight="1" x14ac:dyDescent="0.25">
      <c r="A14" s="40" t="s">
        <v>15</v>
      </c>
      <c r="B14" s="36" t="s">
        <v>8</v>
      </c>
      <c r="C14" s="49">
        <v>1311704793</v>
      </c>
      <c r="D14" s="49">
        <v>231477320</v>
      </c>
      <c r="E14" s="49">
        <v>1543182113</v>
      </c>
      <c r="F14" s="59">
        <f>74417502.8+8589859.95</f>
        <v>83007362.75</v>
      </c>
      <c r="G14" s="59">
        <f>299553272.98+24385188.41+20036709.51+15577785.83</f>
        <v>359552956.73000002</v>
      </c>
      <c r="H14" s="59">
        <f t="shared" si="8"/>
        <v>442560319.48000002</v>
      </c>
      <c r="I14" s="23">
        <f t="shared" si="4"/>
        <v>675179789.64696121</v>
      </c>
      <c r="J14" s="70">
        <f t="shared" si="5"/>
        <v>119149374.64358139</v>
      </c>
      <c r="K14" s="23">
        <v>794329164.2905426</v>
      </c>
      <c r="L14" s="59">
        <f>421776284.390019+51225877.85/1.9558+20363118.78</f>
        <v>468331180.37116432</v>
      </c>
      <c r="M14" s="49">
        <f>56363297.09+162381786.29/1.9558</f>
        <v>139389059.58616525</v>
      </c>
      <c r="N14" s="12"/>
      <c r="O14" s="12"/>
      <c r="P14" s="12"/>
      <c r="Q14" s="25"/>
      <c r="R14" s="26"/>
      <c r="S14" s="15"/>
    </row>
    <row r="15" spans="1:20" s="16" customFormat="1" ht="29.25" customHeight="1" x14ac:dyDescent="0.25">
      <c r="A15" s="43" t="s">
        <v>16</v>
      </c>
      <c r="B15" s="36" t="s">
        <v>8</v>
      </c>
      <c r="C15" s="49">
        <v>938665315</v>
      </c>
      <c r="D15" s="49">
        <v>153582762</v>
      </c>
      <c r="E15" s="49">
        <f t="shared" si="7"/>
        <v>1092248077</v>
      </c>
      <c r="F15" s="59">
        <v>90571495.789999992</v>
      </c>
      <c r="G15" s="59">
        <f>348324786.54+9334442.54+1050079.48+44741868.86+3230508.78</f>
        <v>406681686.20000005</v>
      </c>
      <c r="H15" s="59">
        <f t="shared" si="8"/>
        <v>497253181.99000001</v>
      </c>
      <c r="I15" s="68">
        <v>535581812.78874338</v>
      </c>
      <c r="J15" s="68">
        <v>86096240.302010968</v>
      </c>
      <c r="K15" s="68">
        <v>621678053.09075427</v>
      </c>
      <c r="L15" s="59">
        <f>462173616.801308+68316064.26/1.9558+26685364.65</f>
        <v>523788966.24525416</v>
      </c>
      <c r="M15" s="49">
        <f>130663671.3+(219545983.91+36770765.1)/1.9558</f>
        <v>261718354.29928416</v>
      </c>
      <c r="N15" s="12"/>
      <c r="O15" s="12"/>
      <c r="P15" s="12"/>
      <c r="Q15" s="25"/>
      <c r="R15" s="26"/>
      <c r="S15" s="15"/>
    </row>
    <row r="16" spans="1:20" s="16" customFormat="1" ht="29.25" customHeight="1" x14ac:dyDescent="0.25">
      <c r="A16" s="40" t="s">
        <v>17</v>
      </c>
      <c r="B16" s="42" t="s">
        <v>8</v>
      </c>
      <c r="C16" s="49">
        <v>1123075325</v>
      </c>
      <c r="D16" s="49">
        <v>198189765</v>
      </c>
      <c r="E16" s="49">
        <f t="shared" si="7"/>
        <v>1321265090</v>
      </c>
      <c r="F16" s="59">
        <f>76213076.12625+11882118.65</f>
        <v>88095194.776250005</v>
      </c>
      <c r="G16" s="59">
        <f>403357120.42+21370038.91+12624338.62</f>
        <v>437351497.95000005</v>
      </c>
      <c r="H16" s="59">
        <f t="shared" si="8"/>
        <v>525446692.72625005</v>
      </c>
      <c r="I16" s="23">
        <f t="shared" ref="I16" si="9">K16-J16</f>
        <v>524441028.72143817</v>
      </c>
      <c r="J16" s="70">
        <f t="shared" ref="J16" si="10">K16*15%</f>
        <v>92548416.833194971</v>
      </c>
      <c r="K16" s="59">
        <v>616989445.55463314</v>
      </c>
      <c r="L16" s="59">
        <f>550933571.924532+32275400.66/1.9558</f>
        <v>567435975.37069225</v>
      </c>
      <c r="M16" s="49">
        <f>205479323.49+262668803.8/1.9558</f>
        <v>339781810.3495971</v>
      </c>
      <c r="N16" s="12"/>
      <c r="O16" s="52"/>
      <c r="P16" s="52"/>
      <c r="Q16" s="53"/>
      <c r="R16" s="26"/>
      <c r="S16" s="15"/>
    </row>
    <row r="17" spans="1:19" s="16" customFormat="1" ht="29.25" customHeight="1" x14ac:dyDescent="0.25">
      <c r="A17" s="44" t="s">
        <v>18</v>
      </c>
      <c r="B17" s="42" t="s">
        <v>8</v>
      </c>
      <c r="C17" s="49">
        <v>102000000</v>
      </c>
      <c r="D17" s="49">
        <v>0</v>
      </c>
      <c r="E17" s="49">
        <f t="shared" si="7"/>
        <v>102000000</v>
      </c>
      <c r="F17" s="59">
        <v>6502500</v>
      </c>
      <c r="G17" s="59">
        <v>95497500</v>
      </c>
      <c r="H17" s="59">
        <f t="shared" si="8"/>
        <v>102000000</v>
      </c>
      <c r="I17" s="23">
        <v>102000000</v>
      </c>
      <c r="J17" s="70">
        <v>0</v>
      </c>
      <c r="K17" s="71">
        <v>102000000</v>
      </c>
      <c r="L17" s="59">
        <v>102001564.56999999</v>
      </c>
      <c r="M17" s="49">
        <f>95335762.33+13036976.03/1.9558</f>
        <v>102001564.57460579</v>
      </c>
      <c r="N17" s="34"/>
      <c r="O17" s="52"/>
      <c r="P17" s="52"/>
      <c r="Q17" s="52"/>
      <c r="R17" s="26"/>
      <c r="S17" s="15"/>
    </row>
    <row r="18" spans="1:19" s="16" customFormat="1" ht="29.25" customHeight="1" x14ac:dyDescent="0.25">
      <c r="A18" s="40" t="s">
        <v>19</v>
      </c>
      <c r="B18" s="36" t="s">
        <v>8</v>
      </c>
      <c r="C18" s="49">
        <f>285531663-1500000</f>
        <v>284031663</v>
      </c>
      <c r="D18" s="49">
        <v>50123236</v>
      </c>
      <c r="E18" s="49">
        <f t="shared" si="7"/>
        <v>334154899</v>
      </c>
      <c r="F18" s="59">
        <f>16182582.485+1494522.74</f>
        <v>17677105.224999998</v>
      </c>
      <c r="G18" s="59">
        <f>46794960.02+3150798.83+3740141.41</f>
        <v>53685900.260000005</v>
      </c>
      <c r="H18" s="59">
        <f t="shared" si="8"/>
        <v>71363005.484999999</v>
      </c>
      <c r="I18" s="23">
        <f t="shared" ref="I18:I19" si="11">K18-J18</f>
        <v>78620676.258822516</v>
      </c>
      <c r="J18" s="70">
        <f t="shared" ref="J18:J19" si="12">K18*15%</f>
        <v>13874236.986851033</v>
      </c>
      <c r="K18" s="71">
        <v>92494913.245673552</v>
      </c>
      <c r="L18" s="59">
        <f>65250785.6682687+9562050.49/1.9558+16061282.04</f>
        <v>86201141.483705848</v>
      </c>
      <c r="M18" s="49">
        <f>6606576.12+27687042.08/1.9558</f>
        <v>20762953.091060434</v>
      </c>
      <c r="N18" s="34"/>
      <c r="O18" s="52"/>
      <c r="P18" s="52"/>
      <c r="Q18" s="53"/>
      <c r="R18" s="26"/>
      <c r="S18" s="15"/>
    </row>
    <row r="19" spans="1:19" s="16" customFormat="1" ht="29.25" customHeight="1" x14ac:dyDescent="0.25">
      <c r="A19" s="40" t="s">
        <v>20</v>
      </c>
      <c r="B19" s="36" t="s">
        <v>8</v>
      </c>
      <c r="C19" s="49">
        <v>104815264</v>
      </c>
      <c r="D19" s="49">
        <v>18496812</v>
      </c>
      <c r="E19" s="49">
        <f t="shared" si="7"/>
        <v>123312076</v>
      </c>
      <c r="F19" s="59">
        <v>11529679.040000001</v>
      </c>
      <c r="G19" s="59">
        <f>58306319.23+4318510.55+4354658.23</f>
        <v>66979488.00999999</v>
      </c>
      <c r="H19" s="59">
        <f t="shared" si="8"/>
        <v>78509167.049999997</v>
      </c>
      <c r="I19" s="23">
        <f t="shared" si="11"/>
        <v>82544441.947762445</v>
      </c>
      <c r="J19" s="70">
        <f t="shared" si="12"/>
        <v>14566666.226075726</v>
      </c>
      <c r="K19" s="71">
        <v>97111108.173838168</v>
      </c>
      <c r="L19" s="59">
        <f>71391560.7765242+11040709.79/1.9558+5692363.72</f>
        <v>82729036.363790795</v>
      </c>
      <c r="M19" s="49">
        <f>28256914.94+29680710.41/1.9558</f>
        <v>43432653.977733925</v>
      </c>
      <c r="N19" s="34"/>
      <c r="O19" s="52"/>
      <c r="P19" s="52"/>
      <c r="Q19" s="53"/>
      <c r="R19" s="26"/>
      <c r="S19" s="15"/>
    </row>
    <row r="20" spans="1:19" s="13" customFormat="1" ht="29.25" customHeight="1" x14ac:dyDescent="0.25">
      <c r="A20" s="76" t="s">
        <v>21</v>
      </c>
      <c r="B20" s="77"/>
      <c r="C20" s="23">
        <f>+C5+C8+C11+C14+C15+C16+C17+C18+C19</f>
        <v>7526106541</v>
      </c>
      <c r="D20" s="23">
        <f>+D5+D8+D11+D14+D15+D16+D17+D18+D19</f>
        <v>1298072406</v>
      </c>
      <c r="E20" s="23">
        <f t="shared" ref="E20" si="13">+C20+D20</f>
        <v>8824178947</v>
      </c>
      <c r="F20" s="56">
        <f t="shared" ref="F20:M20" si="14">+F5+F8+F11+F14+F15+F16+F17+F18+F19</f>
        <v>534405015.40875</v>
      </c>
      <c r="G20" s="56">
        <f t="shared" si="14"/>
        <v>2191753983.9200001</v>
      </c>
      <c r="H20" s="56">
        <f>+H5+H8+H11+H14+H15+H16+H17+H18+H19</f>
        <v>2726158999.3287501</v>
      </c>
      <c r="I20" s="56">
        <f>+I5+I8+I11+I14+I15+I16+I17+I18+I19</f>
        <v>3260491061.962039</v>
      </c>
      <c r="J20" s="56">
        <f t="shared" ref="J20" si="15">+J5+J8+J11+J14+J15+J16+J17+J18+J19</f>
        <v>548962578.39141607</v>
      </c>
      <c r="K20" s="56">
        <f>+K5+K8+K11+K14+K15+K16+K17+K18+K19</f>
        <v>3809453640.3534555</v>
      </c>
      <c r="L20" s="56">
        <f t="shared" ref="L20" si="16">+L5+L8+L11+L14+L15+L16+L17+L18+L19</f>
        <v>2979497732.2234278</v>
      </c>
      <c r="M20" s="23">
        <f t="shared" si="14"/>
        <v>1327977372.0945289</v>
      </c>
      <c r="N20" s="33">
        <f>K20/E20</f>
        <v>0.43170629961539647</v>
      </c>
      <c r="O20" s="52"/>
      <c r="P20" s="52"/>
      <c r="Q20" s="52"/>
      <c r="R20" s="26"/>
      <c r="S20" s="14"/>
    </row>
    <row r="21" spans="1:19" s="13" customFormat="1" ht="29.25" customHeight="1" x14ac:dyDescent="0.2">
      <c r="A21" s="1"/>
      <c r="B21" s="1"/>
      <c r="C21" s="37"/>
      <c r="D21" s="37"/>
      <c r="E21" s="37"/>
      <c r="F21" s="37"/>
      <c r="G21" s="37">
        <v>1650202737.6600001</v>
      </c>
      <c r="H21" s="37">
        <v>2128745972.9212501</v>
      </c>
      <c r="I21" s="45"/>
      <c r="J21" s="46"/>
      <c r="K21" s="37">
        <v>2894510008.3227501</v>
      </c>
      <c r="L21" s="37">
        <v>2140717219.7054014</v>
      </c>
      <c r="M21" s="37"/>
      <c r="N21" s="33"/>
      <c r="O21" s="54"/>
      <c r="P21" s="54"/>
      <c r="Q21" s="54"/>
    </row>
    <row r="22" spans="1:19" s="13" customFormat="1" ht="29.25" customHeight="1" x14ac:dyDescent="0.2">
      <c r="A22" s="1"/>
      <c r="B22" s="1"/>
      <c r="C22" s="4">
        <f>C20-C20</f>
        <v>0</v>
      </c>
      <c r="D22" s="4">
        <f>D20-'[1]SCF_financial info_EUR_BUL'!$D$20</f>
        <v>0</v>
      </c>
      <c r="E22" s="4">
        <f>E20-'[1]SCF_financial info_EUR_BUL'!$E$20</f>
        <v>0</v>
      </c>
      <c r="F22" s="4">
        <f>F20-'[1]SCF_financial info_EUR_BUL'!$F$20</f>
        <v>0</v>
      </c>
      <c r="G22" s="27">
        <f>+G20-G21</f>
        <v>541551246.25999999</v>
      </c>
      <c r="H22" s="27">
        <f>+H20-H21</f>
        <v>597413026.40750003</v>
      </c>
      <c r="I22" s="27"/>
      <c r="J22" s="27"/>
      <c r="K22" s="27">
        <f>K20-'[1]SCF_financial info_EUR_BUL'!$K$20</f>
        <v>0</v>
      </c>
      <c r="L22" s="27">
        <f>L20-'[1]SCF_financial info_EUR_BUL'!$L$20</f>
        <v>0</v>
      </c>
      <c r="M22" s="27"/>
      <c r="N22" s="33"/>
      <c r="O22" s="55"/>
      <c r="P22" s="52"/>
      <c r="Q22" s="52"/>
    </row>
    <row r="23" spans="1:19" s="13" customFormat="1" ht="29.25" customHeight="1" x14ac:dyDescent="0.2">
      <c r="A23" s="1"/>
      <c r="B23" s="1"/>
      <c r="C23" s="4"/>
      <c r="D23" s="4"/>
      <c r="E23" s="4"/>
      <c r="F23" s="4"/>
      <c r="G23" s="27">
        <f>G20-'[1]SCF_financial info_EUR_BUL'!$G$20</f>
        <v>0</v>
      </c>
      <c r="H23" s="27">
        <f>H20-'[1]SCF_financial info_EUR_BUL'!$H$20</f>
        <v>0</v>
      </c>
      <c r="I23" s="37">
        <f>I20-'[1]SCF_financial info_EUR_BUL'!$I$20</f>
        <v>0</v>
      </c>
      <c r="J23" s="37">
        <f>J20-'[1]SCF_financial info_EUR_BUL'!$J$20</f>
        <v>0</v>
      </c>
      <c r="K23" s="37">
        <f>+K20-K21</f>
        <v>914943632.03070545</v>
      </c>
      <c r="L23" s="37">
        <v>103554710.18000001</v>
      </c>
      <c r="M23" s="27"/>
      <c r="N23" s="35"/>
      <c r="O23" s="54"/>
      <c r="P23" s="54"/>
      <c r="Q23" s="54"/>
    </row>
    <row r="24" spans="1:19" s="13" customFormat="1" ht="29.25" customHeight="1" x14ac:dyDescent="0.2">
      <c r="A24" s="1"/>
      <c r="B24" s="1"/>
      <c r="C24" s="4"/>
      <c r="D24" s="4"/>
      <c r="E24" s="4"/>
      <c r="F24" s="4"/>
      <c r="G24" s="27">
        <f>+G20-G22</f>
        <v>1650202737.6600001</v>
      </c>
      <c r="H24" s="27"/>
      <c r="I24" s="38"/>
      <c r="J24" s="37"/>
      <c r="K24" s="37"/>
      <c r="L24" s="39">
        <f>+L22-L23</f>
        <v>-103554710.18000001</v>
      </c>
      <c r="M24" s="39"/>
      <c r="N24" s="35"/>
      <c r="O24" s="54"/>
      <c r="P24" s="54"/>
      <c r="Q24" s="54"/>
    </row>
    <row r="25" spans="1:19" s="13" customFormat="1" ht="29.25" customHeight="1" x14ac:dyDescent="0.2">
      <c r="A25" s="1"/>
      <c r="B25" s="1"/>
      <c r="C25" s="4"/>
      <c r="D25" s="4"/>
      <c r="E25" s="4"/>
      <c r="F25" s="4"/>
      <c r="G25" s="27"/>
      <c r="H25" s="4"/>
      <c r="I25" s="17"/>
      <c r="J25" s="4"/>
      <c r="K25" s="4"/>
      <c r="L25" s="20"/>
      <c r="M25" s="6"/>
      <c r="N25" s="35"/>
      <c r="O25" s="54"/>
      <c r="P25" s="54"/>
      <c r="Q25" s="54"/>
    </row>
    <row r="26" spans="1:19" s="13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7"/>
      <c r="J26" s="4"/>
      <c r="K26" s="4"/>
      <c r="L26" s="20"/>
      <c r="M26" s="6"/>
      <c r="N26" s="35"/>
      <c r="O26" s="54"/>
      <c r="P26" s="54"/>
      <c r="Q26" s="54"/>
    </row>
    <row r="27" spans="1:19" s="13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7"/>
      <c r="J27" s="4"/>
      <c r="K27" s="4"/>
      <c r="L27" s="20"/>
      <c r="M27" s="6"/>
      <c r="N27" s="35"/>
      <c r="O27" s="50"/>
      <c r="P27" s="50"/>
      <c r="Q27" s="51"/>
    </row>
    <row r="28" spans="1:19" s="13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4"/>
      <c r="J28" s="14"/>
      <c r="K28" s="18"/>
      <c r="L28" s="20"/>
      <c r="M28" s="6"/>
      <c r="N28" s="35"/>
      <c r="O28" s="35"/>
      <c r="P28" s="35"/>
    </row>
    <row r="29" spans="1:19" s="13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4"/>
      <c r="J29" s="14"/>
      <c r="K29" s="19"/>
      <c r="L29" s="20"/>
      <c r="M29" s="6"/>
      <c r="N29" s="35"/>
      <c r="O29" s="35"/>
      <c r="P29" s="35"/>
    </row>
    <row r="30" spans="1:19" x14ac:dyDescent="0.25">
      <c r="K30" s="19"/>
    </row>
    <row r="31" spans="1:19" x14ac:dyDescent="0.25">
      <c r="K31" s="19"/>
    </row>
    <row r="32" spans="1:19" x14ac:dyDescent="0.25">
      <c r="K32" s="19"/>
    </row>
    <row r="33" spans="11:11" x14ac:dyDescent="0.25">
      <c r="K33" s="19"/>
    </row>
    <row r="34" spans="11:11" x14ac:dyDescent="0.25">
      <c r="K34" s="19"/>
    </row>
    <row r="35" spans="11:11" x14ac:dyDescent="0.25">
      <c r="K35" s="19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Лиляна Вълкова-Петрова</cp:lastModifiedBy>
  <cp:lastPrinted>2019-09-24T09:45:16Z</cp:lastPrinted>
  <dcterms:created xsi:type="dcterms:W3CDTF">2007-11-29T09:10:22Z</dcterms:created>
  <dcterms:modified xsi:type="dcterms:W3CDTF">2020-01-30T13:58:54Z</dcterms:modified>
</cp:coreProperties>
</file>