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080" windowWidth="13515" windowHeight="838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N20" i="5" l="1"/>
  <c r="J11" i="5" l="1"/>
  <c r="I11" i="5"/>
  <c r="J8" i="5"/>
  <c r="I8" i="5"/>
  <c r="J5" i="5"/>
  <c r="I5" i="5"/>
  <c r="K19" i="5"/>
  <c r="K18" i="5"/>
  <c r="K17" i="5"/>
  <c r="K16" i="5"/>
  <c r="K15" i="5"/>
  <c r="K13" i="5"/>
  <c r="K12" i="5"/>
  <c r="K10" i="5"/>
  <c r="K9" i="5"/>
  <c r="K7" i="5"/>
  <c r="K6" i="5"/>
  <c r="K5" i="5" l="1"/>
  <c r="L16" i="5" l="1"/>
  <c r="L15" i="5"/>
  <c r="L19" i="5"/>
  <c r="L18" i="5"/>
  <c r="L14" i="5"/>
  <c r="L10" i="5"/>
  <c r="L9" i="5"/>
  <c r="L7" i="5"/>
  <c r="L6" i="5"/>
  <c r="L17" i="5"/>
  <c r="L13" i="5"/>
  <c r="L11" i="5"/>
  <c r="L8" i="5"/>
  <c r="L5" i="5" l="1"/>
  <c r="G13" i="5" l="1"/>
  <c r="G14" i="5"/>
  <c r="G7" i="5"/>
  <c r="G15" i="5"/>
  <c r="G16" i="5"/>
  <c r="G6" i="5"/>
  <c r="K11" i="5" l="1"/>
  <c r="K8" i="5"/>
  <c r="M19" i="5" l="1"/>
  <c r="H19" i="5"/>
  <c r="E19" i="5"/>
  <c r="M18" i="5"/>
  <c r="H18" i="5"/>
  <c r="E18" i="5"/>
  <c r="C18" i="5"/>
  <c r="M17" i="5"/>
  <c r="H17" i="5"/>
  <c r="E17" i="5"/>
  <c r="M16" i="5"/>
  <c r="H16" i="5"/>
  <c r="E16" i="5"/>
  <c r="M15" i="5"/>
  <c r="H15" i="5"/>
  <c r="E15" i="5"/>
  <c r="M14" i="5"/>
  <c r="H14" i="5"/>
  <c r="M13" i="5"/>
  <c r="M11" i="5" s="1"/>
  <c r="H13" i="5"/>
  <c r="E13" i="5"/>
  <c r="E11" i="5" s="1"/>
  <c r="H12" i="5"/>
  <c r="E12" i="5"/>
  <c r="G11" i="5"/>
  <c r="H11" i="5" s="1"/>
  <c r="F11" i="5"/>
  <c r="D11" i="5"/>
  <c r="C11" i="5"/>
  <c r="M10" i="5"/>
  <c r="H10" i="5"/>
  <c r="E10" i="5"/>
  <c r="M9" i="5"/>
  <c r="H9" i="5"/>
  <c r="E9" i="5"/>
  <c r="M8" i="5"/>
  <c r="G8" i="5"/>
  <c r="F8" i="5"/>
  <c r="H8" i="5" s="1"/>
  <c r="E8" i="5"/>
  <c r="D8" i="5"/>
  <c r="C8" i="5"/>
  <c r="M7" i="5"/>
  <c r="H7" i="5"/>
  <c r="E7" i="5"/>
  <c r="M6" i="5"/>
  <c r="H6" i="5"/>
  <c r="E6" i="5"/>
  <c r="E5" i="5" s="1"/>
  <c r="M5" i="5"/>
  <c r="M20" i="5" s="1"/>
  <c r="L20" i="5"/>
  <c r="G5" i="5"/>
  <c r="F5" i="5"/>
  <c r="F20" i="5" s="1"/>
  <c r="D5" i="5"/>
  <c r="D20" i="5" s="1"/>
  <c r="C5" i="5"/>
  <c r="C20" i="5" s="1"/>
  <c r="E20" i="5" s="1"/>
  <c r="G20" i="5" l="1"/>
  <c r="G22" i="5" s="1"/>
  <c r="H5" i="5"/>
  <c r="H20" i="5" s="1"/>
  <c r="H22" i="5" s="1"/>
  <c r="L22" i="5"/>
  <c r="L24" i="5" s="1"/>
  <c r="G24" i="5" l="1"/>
  <c r="J20" i="5" l="1"/>
  <c r="K20" i="5"/>
  <c r="I20" i="5"/>
  <c r="K23" i="5" l="1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<sst xmlns="http://schemas.openxmlformats.org/spreadsheetml/2006/main" count="45" uniqueCount="29">
  <si>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</si>
  <si>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</si>
  <si>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</si>
  <si>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</si>
  <si>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</si>
  <si>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</si>
  <si>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</si>
  <si>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</si>
  <si>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</si>
  <si>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</si>
  <si>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</si>
  <si>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</si>
  <si>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</si>
  <si>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</si>
  <si>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</si>
  <si>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</si>
  <si>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</si>
  <si>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</si>
  <si>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</si>
  <si>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</si>
  <si>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</si>
  <si>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</si>
  <si>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30.04.2019</t>
  </si>
  <si>
    <t>Funds received from the EC based on submitted applications for payment up to 30.04.2019</t>
  </si>
  <si>
    <t>Total funds received from the EC up to 30.04.2019</t>
  </si>
  <si>
    <t>Paid up to 30.04.2019</t>
  </si>
  <si>
    <t>Total paid up to 30.04.2019</t>
  </si>
  <si>
    <t>Total public expenditure certified to the EC with Annual Accounts 
as per 30.04.2019</t>
  </si>
  <si>
    <t>Total public expenditure declared to the EC with Payment claims
 as per 30.04.2019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</si>
</sst>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5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horizontal="center" vertical="center"/>
    </xf>
    <xf numFmtId="170" fontId="8" fillId="0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3" fillId="4" borderId="0" xfId="0" applyFont="1" applyFill="1"/>
    <xf numFmtId="3" fontId="8" fillId="2" borderId="0" xfId="0" applyNumberFormat="1" applyFont="1" applyFill="1"/>
    <xf numFmtId="4" fontId="10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170" fontId="9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9" fillId="2" borderId="1" xfId="1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8" zoomScaleNormal="90" zoomScaleSheetLayoutView="8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1" sqref="J21"/>
    </sheetView>
  </sheetViews>
  <sheetFormatPr defaultColWidth="9.140625" defaultRowHeight="15" outlineLevelRow="1" x14ac:dyDescent="0.25"/>
  <cols>
    <col min="1" max="1" width="34.7109375" style="15" customWidth="1"/>
    <col min="2" max="2" width="7.85546875" style="5" customWidth="1"/>
    <col min="3" max="3" width="18.7109375" style="5" customWidth="1"/>
    <col min="4" max="4" width="17.85546875" style="5" customWidth="1"/>
    <col min="5" max="5" width="17.140625" style="5" customWidth="1"/>
    <col min="6" max="6" width="18.140625" style="5" customWidth="1"/>
    <col min="7" max="7" width="19.42578125" style="5" customWidth="1"/>
    <col min="8" max="8" width="16.7109375" style="5" customWidth="1"/>
    <col min="9" max="9" width="17.85546875" style="15" customWidth="1"/>
    <col min="10" max="10" width="16.7109375" style="15" customWidth="1"/>
    <col min="11" max="11" width="17.5703125" style="15" customWidth="1"/>
    <col min="12" max="12" width="19" style="22" customWidth="1"/>
    <col min="13" max="13" width="17.7109375" style="8" customWidth="1"/>
    <col min="14" max="14" width="19.85546875" style="15" customWidth="1"/>
    <col min="15" max="15" width="28.42578125" style="15" customWidth="1"/>
    <col min="16" max="16" width="15.42578125" style="15" customWidth="1"/>
    <col min="17" max="17" width="22.28515625" style="15" customWidth="1"/>
    <col min="18" max="18" width="17.42578125" style="15" customWidth="1"/>
    <col min="19" max="19" width="13.5703125" style="15" customWidth="1"/>
    <col min="20" max="16384" width="9.140625" style="15"/>
  </cols>
  <sheetData>
    <row r="1" spans="1:20" s="10" customFormat="1" ht="11.25" customHeight="1" x14ac:dyDescent="0.2">
      <c r="A1" s="1"/>
      <c r="B1" s="1"/>
      <c r="C1" s="2"/>
      <c r="D1" s="2"/>
      <c r="E1" s="2"/>
      <c r="F1" s="29"/>
      <c r="G1" s="29"/>
      <c r="H1" s="29"/>
      <c r="I1" s="30"/>
      <c r="J1" s="30"/>
      <c r="K1" s="30"/>
      <c r="L1" s="31"/>
      <c r="M1" s="31"/>
    </row>
    <row r="2" spans="1:20" s="11" customFormat="1" ht="12.75" customHeight="1" x14ac:dyDescent="0.25">
      <c r="A2" s="70" t="s">
        <v>0</v>
      </c>
      <c r="B2" s="71" t="s">
        <v>1</v>
      </c>
      <c r="C2" s="73" t="s">
        <v>2</v>
      </c>
      <c r="D2" s="73" t="s">
        <v>3</v>
      </c>
      <c r="E2" s="73" t="s">
        <v>4</v>
      </c>
      <c r="F2" s="66" t="s">
        <v>22</v>
      </c>
      <c r="G2" s="66" t="s">
        <v>23</v>
      </c>
      <c r="H2" s="66" t="s">
        <v>24</v>
      </c>
      <c r="I2" s="75" t="s">
        <v>25</v>
      </c>
      <c r="J2" s="76"/>
      <c r="K2" s="66" t="s">
        <v>26</v>
      </c>
      <c r="L2" s="64" t="s">
        <v>28</v>
      </c>
      <c r="M2" s="64" t="s">
        <v>27</v>
      </c>
    </row>
    <row r="3" spans="1:20" s="11" customFormat="1" ht="75" customHeight="1" x14ac:dyDescent="0.2">
      <c r="A3" s="70"/>
      <c r="B3" s="72"/>
      <c r="C3" s="74"/>
      <c r="D3" s="74"/>
      <c r="E3" s="74"/>
      <c r="F3" s="77"/>
      <c r="G3" s="77"/>
      <c r="H3" s="77"/>
      <c r="I3" s="50" t="s">
        <v>5</v>
      </c>
      <c r="J3" s="51" t="s">
        <v>6</v>
      </c>
      <c r="K3" s="67"/>
      <c r="L3" s="65"/>
      <c r="M3" s="65"/>
    </row>
    <row r="4" spans="1:20" s="11" customFormat="1" ht="18.75" customHeight="1" x14ac:dyDescent="0.2">
      <c r="A4" s="12">
        <v>1</v>
      </c>
      <c r="B4" s="3">
        <v>2</v>
      </c>
      <c r="C4" s="9">
        <v>3</v>
      </c>
      <c r="D4" s="3">
        <v>4</v>
      </c>
      <c r="E4" s="3">
        <v>5</v>
      </c>
      <c r="F4" s="32">
        <v>6</v>
      </c>
      <c r="G4" s="32">
        <v>7</v>
      </c>
      <c r="H4" s="32">
        <v>8</v>
      </c>
      <c r="I4" s="32">
        <v>9</v>
      </c>
      <c r="J4" s="23">
        <v>10</v>
      </c>
      <c r="K4" s="23">
        <v>11</v>
      </c>
      <c r="L4" s="23">
        <v>12</v>
      </c>
      <c r="M4" s="23">
        <v>13</v>
      </c>
    </row>
    <row r="5" spans="1:20" s="14" customFormat="1" ht="29.25" customHeight="1" x14ac:dyDescent="0.2">
      <c r="A5" s="41" t="s">
        <v>7</v>
      </c>
      <c r="B5" s="37" t="s">
        <v>8</v>
      </c>
      <c r="C5" s="24">
        <f>C6+C7</f>
        <v>1604449168</v>
      </c>
      <c r="D5" s="24">
        <f>D6+D7</f>
        <v>283138092</v>
      </c>
      <c r="E5" s="24">
        <f t="shared" ref="E5:G5" si="0">E6+E7</f>
        <v>1887587260</v>
      </c>
      <c r="F5" s="24">
        <f t="shared" si="0"/>
        <v>99165878.049999997</v>
      </c>
      <c r="G5" s="24">
        <f t="shared" si="0"/>
        <v>352220278.35000002</v>
      </c>
      <c r="H5" s="24">
        <f>+H6+H7</f>
        <v>451386156.39999998</v>
      </c>
      <c r="I5" s="24">
        <f>SUM(I6+I7)</f>
        <v>505719940.35350001</v>
      </c>
      <c r="J5" s="24">
        <f>SUM(J6+J7)</f>
        <v>89244695.3565</v>
      </c>
      <c r="K5" s="24">
        <f>+I5+J5</f>
        <v>594964635.71000004</v>
      </c>
      <c r="L5" s="54">
        <f t="shared" ref="L5" si="1">L6+L7</f>
        <v>457890155.65005124</v>
      </c>
      <c r="M5" s="24">
        <f>M6+M7</f>
        <v>297586363.59070355</v>
      </c>
      <c r="N5" s="13"/>
      <c r="O5" s="13"/>
      <c r="P5" s="13"/>
      <c r="Q5" s="13"/>
    </row>
    <row r="6" spans="1:20" ht="29.25" customHeight="1" outlineLevel="1" x14ac:dyDescent="0.25">
      <c r="A6" s="42" t="s">
        <v>9</v>
      </c>
      <c r="B6" s="43" t="s">
        <v>8</v>
      </c>
      <c r="C6" s="6">
        <v>459761907</v>
      </c>
      <c r="D6" s="6">
        <v>81134456</v>
      </c>
      <c r="E6" s="33">
        <f>+C6+D6</f>
        <v>540896363</v>
      </c>
      <c r="F6" s="33">
        <v>33105127.969999999</v>
      </c>
      <c r="G6" s="33">
        <f>186159745.02+16416349.54</f>
        <v>202576094.56</v>
      </c>
      <c r="H6" s="33">
        <f>+F6+G6</f>
        <v>235681222.53</v>
      </c>
      <c r="I6" s="33">
        <v>271353984.43650001</v>
      </c>
      <c r="J6" s="48">
        <v>47885997.2535</v>
      </c>
      <c r="K6" s="33">
        <f>+I6+J6</f>
        <v>319239981.69</v>
      </c>
      <c r="L6" s="61">
        <f>157293274.034206+12722429.95+22976567.92+10019626.03+41501481.36/1.9558+37049672.65/1.9558-646706.98/1.9558+41970060.83/1.9558</f>
        <v>264303700.70545051</v>
      </c>
      <c r="M6" s="33">
        <f>98656531.13+138917563.52/1.9558</f>
        <v>169685043.0023796</v>
      </c>
      <c r="N6" s="13"/>
      <c r="O6" s="13"/>
      <c r="P6" s="13"/>
      <c r="Q6" s="26"/>
      <c r="R6" s="27"/>
    </row>
    <row r="7" spans="1:20" ht="29.25" customHeight="1" outlineLevel="1" x14ac:dyDescent="0.25">
      <c r="A7" s="42" t="s">
        <v>10</v>
      </c>
      <c r="B7" s="43" t="s">
        <v>8</v>
      </c>
      <c r="C7" s="6">
        <v>1144687261</v>
      </c>
      <c r="D7" s="6">
        <v>202003636</v>
      </c>
      <c r="E7" s="33">
        <f>+C7+D7</f>
        <v>1346690897</v>
      </c>
      <c r="F7" s="33">
        <v>66060750.079999998</v>
      </c>
      <c r="G7" s="33">
        <f>147718599.22+1925584.57</f>
        <v>149644183.78999999</v>
      </c>
      <c r="H7" s="33">
        <f>+F7+G7</f>
        <v>215704933.87</v>
      </c>
      <c r="I7" s="33">
        <v>234365955.917</v>
      </c>
      <c r="J7" s="48">
        <v>41358698.102999993</v>
      </c>
      <c r="K7" s="33">
        <f>+I7+J7</f>
        <v>275724654.01999998</v>
      </c>
      <c r="L7" s="61">
        <f>128025864.608777+10842476.46+31148355.92+15313721.75/1.9558+26104642.03/1.9558-243583.2/1.9558+4922952.03/1.9558</f>
        <v>193586454.9446007</v>
      </c>
      <c r="M7" s="33">
        <f>66419687.18+120245778.62/1.9558</f>
        <v>127901320.58832397</v>
      </c>
      <c r="N7" s="13"/>
      <c r="O7" s="13"/>
      <c r="P7" s="13"/>
      <c r="Q7" s="26"/>
      <c r="R7" s="27"/>
    </row>
    <row r="8" spans="1:20" s="14" customFormat="1" ht="29.25" customHeight="1" x14ac:dyDescent="0.25">
      <c r="A8" s="41" t="s">
        <v>11</v>
      </c>
      <c r="B8" s="37" t="s">
        <v>8</v>
      </c>
      <c r="C8" s="24">
        <f>C9+C10</f>
        <v>1504824141</v>
      </c>
      <c r="D8" s="24">
        <f t="shared" ref="D8:M8" si="2">D9+D10</f>
        <v>265557204</v>
      </c>
      <c r="E8" s="24">
        <f t="shared" si="2"/>
        <v>1770381345</v>
      </c>
      <c r="F8" s="24">
        <f t="shared" si="2"/>
        <v>84058553.150000006</v>
      </c>
      <c r="G8" s="24">
        <f t="shared" si="2"/>
        <v>180492967.31</v>
      </c>
      <c r="H8" s="24">
        <f>+F8+G8</f>
        <v>264551520.46000001</v>
      </c>
      <c r="I8" s="24">
        <f>+I9+I10</f>
        <v>257481954.49952549</v>
      </c>
      <c r="J8" s="24">
        <f>+J9+J10</f>
        <v>45437991.9705045</v>
      </c>
      <c r="K8" s="24">
        <f>I8+J8</f>
        <v>302919946.47003001</v>
      </c>
      <c r="L8" s="62">
        <f t="shared" ref="L8" si="3">L9+L10</f>
        <v>247708610.20075569</v>
      </c>
      <c r="M8" s="24">
        <f t="shared" si="2"/>
        <v>97725777.545104817</v>
      </c>
      <c r="N8" s="13"/>
      <c r="O8" s="13"/>
      <c r="P8" s="13"/>
      <c r="Q8" s="13"/>
      <c r="R8" s="27"/>
    </row>
    <row r="9" spans="1:20" ht="29.25" customHeight="1" outlineLevel="1" x14ac:dyDescent="0.25">
      <c r="A9" s="42" t="s">
        <v>9</v>
      </c>
      <c r="B9" s="43" t="s">
        <v>8</v>
      </c>
      <c r="C9" s="6">
        <v>371204258</v>
      </c>
      <c r="D9" s="6">
        <v>65506635</v>
      </c>
      <c r="E9" s="33">
        <f t="shared" ref="E9:E10" si="4">+C9+D9</f>
        <v>436710893</v>
      </c>
      <c r="F9" s="33">
        <v>21007511.390000001</v>
      </c>
      <c r="G9" s="33">
        <v>45452380.759999998</v>
      </c>
      <c r="H9" s="33">
        <f t="shared" ref="H9:H13" si="5">+F9+G9</f>
        <v>66459892.149999999</v>
      </c>
      <c r="I9" s="33">
        <v>61639327.464000002</v>
      </c>
      <c r="J9" s="48">
        <v>10877528.376</v>
      </c>
      <c r="K9" s="33">
        <f>+I9+J9</f>
        <v>72516855.840000004</v>
      </c>
      <c r="L9" s="61">
        <f>14044324.41+1026545.43+1340705.31/1.9558+1122074.21+81111350.4/1.9558+2080961.2/1.9558+4206781.39/1.9558</f>
        <v>61565578.419567436</v>
      </c>
      <c r="M9" s="33">
        <f>11106979.35+7752577.57/1.9558</f>
        <v>15070870.121039983</v>
      </c>
      <c r="N9" s="13"/>
      <c r="O9" s="13"/>
      <c r="P9" s="13"/>
      <c r="Q9" s="26"/>
      <c r="R9" s="27"/>
      <c r="S9" s="16"/>
    </row>
    <row r="10" spans="1:20" ht="29.25" customHeight="1" outlineLevel="1" x14ac:dyDescent="0.25">
      <c r="A10" s="42" t="s">
        <v>10</v>
      </c>
      <c r="B10" s="43" t="s">
        <v>8</v>
      </c>
      <c r="C10" s="6">
        <v>1133619883</v>
      </c>
      <c r="D10" s="6">
        <v>200050569</v>
      </c>
      <c r="E10" s="33">
        <f t="shared" si="4"/>
        <v>1333670452</v>
      </c>
      <c r="F10" s="33">
        <v>63051041.759999998</v>
      </c>
      <c r="G10" s="33">
        <v>135040586.55000001</v>
      </c>
      <c r="H10" s="33">
        <f t="shared" si="5"/>
        <v>198091628.31</v>
      </c>
      <c r="I10" s="33">
        <v>195842627.0355255</v>
      </c>
      <c r="J10" s="48">
        <v>34560463.594504498</v>
      </c>
      <c r="K10" s="33">
        <f>+I10+J10</f>
        <v>230403090.63003001</v>
      </c>
      <c r="L10" s="61">
        <f>68597981.09+14100210.45+25557857.05/1.9558+9756587.02+138225138.86/1.9558+94822.02/1.9558-84655.07/1.9558+19442322.79/1.9558</f>
        <v>186143031.78118825</v>
      </c>
      <c r="M10" s="33">
        <f>23431712.67+115828724.3/1.9558</f>
        <v>82654907.42406483</v>
      </c>
      <c r="N10" s="13"/>
      <c r="O10" s="13"/>
      <c r="P10" s="13"/>
      <c r="Q10" s="26"/>
      <c r="R10" s="27"/>
      <c r="S10" s="16"/>
    </row>
    <row r="11" spans="1:20" s="14" customFormat="1" ht="29.25" customHeight="1" x14ac:dyDescent="0.25">
      <c r="A11" s="41" t="s">
        <v>12</v>
      </c>
      <c r="B11" s="37" t="s">
        <v>8</v>
      </c>
      <c r="C11" s="24">
        <f>C12+C13</f>
        <v>552540872</v>
      </c>
      <c r="D11" s="24">
        <f t="shared" ref="D11:M11" si="6">D12+D13</f>
        <v>97507215</v>
      </c>
      <c r="E11" s="24">
        <f t="shared" si="6"/>
        <v>650048087</v>
      </c>
      <c r="F11" s="24">
        <f t="shared" si="6"/>
        <v>32214502.939999998</v>
      </c>
      <c r="G11" s="24">
        <f t="shared" si="6"/>
        <v>81376926.659999996</v>
      </c>
      <c r="H11" s="24">
        <f>+F11+G11</f>
        <v>113591429.59999999</v>
      </c>
      <c r="I11" s="24">
        <f>SUM(I12+I13)</f>
        <v>151223166.64912871</v>
      </c>
      <c r="J11" s="24">
        <f>SUM(J12+J13)</f>
        <v>26686441.173375651</v>
      </c>
      <c r="K11" s="24">
        <f>I11+J11</f>
        <v>177909607.82250434</v>
      </c>
      <c r="L11" s="62">
        <f t="shared" ref="L11" si="7">L12+L13</f>
        <v>106344234.29789652</v>
      </c>
      <c r="M11" s="24">
        <f t="shared" si="6"/>
        <v>25578835.080274057</v>
      </c>
      <c r="N11" s="13"/>
      <c r="O11" s="13"/>
      <c r="P11" s="13"/>
      <c r="Q11" s="13"/>
      <c r="R11" s="27"/>
      <c r="S11" s="16"/>
    </row>
    <row r="12" spans="1:20" s="17" customFormat="1" ht="29.25" customHeight="1" x14ac:dyDescent="0.25">
      <c r="A12" s="42" t="s">
        <v>13</v>
      </c>
      <c r="B12" s="43" t="s">
        <v>8</v>
      </c>
      <c r="C12" s="6">
        <v>199921329</v>
      </c>
      <c r="D12" s="6">
        <v>35280235</v>
      </c>
      <c r="E12" s="33">
        <f t="shared" ref="E12:E20" si="8">+C12+D12</f>
        <v>235201564</v>
      </c>
      <c r="F12" s="33">
        <v>13154750.529999999</v>
      </c>
      <c r="G12" s="33">
        <v>0</v>
      </c>
      <c r="H12" s="33">
        <f t="shared" si="5"/>
        <v>13154750.529999999</v>
      </c>
      <c r="I12" s="33">
        <v>28667441.445883188</v>
      </c>
      <c r="J12" s="49">
        <v>5058960.2551558567</v>
      </c>
      <c r="K12" s="33">
        <f t="shared" ref="K12:K19" si="9">+I12+J12</f>
        <v>33726401.701039046</v>
      </c>
      <c r="L12" s="63">
        <v>0</v>
      </c>
      <c r="M12" s="52">
        <v>0</v>
      </c>
      <c r="N12" s="13"/>
      <c r="O12" s="13"/>
      <c r="P12" s="13"/>
      <c r="Q12" s="13"/>
      <c r="R12" s="27"/>
      <c r="S12" s="16"/>
    </row>
    <row r="13" spans="1:20" s="14" customFormat="1" ht="29.25" customHeight="1" x14ac:dyDescent="0.25">
      <c r="A13" s="42" t="s">
        <v>14</v>
      </c>
      <c r="B13" s="43" t="s">
        <v>8</v>
      </c>
      <c r="C13" s="6">
        <v>352619543</v>
      </c>
      <c r="D13" s="6">
        <v>62226980</v>
      </c>
      <c r="E13" s="33">
        <f t="shared" si="8"/>
        <v>414846523</v>
      </c>
      <c r="F13" s="33">
        <v>19059752.41</v>
      </c>
      <c r="G13" s="33">
        <f>78539138.05+2837788.61</f>
        <v>81376926.659999996</v>
      </c>
      <c r="H13" s="33">
        <f t="shared" si="5"/>
        <v>100436679.06999999</v>
      </c>
      <c r="I13" s="33">
        <v>122555725.20324551</v>
      </c>
      <c r="J13" s="48">
        <v>21627480.918219794</v>
      </c>
      <c r="K13" s="33">
        <f t="shared" si="9"/>
        <v>144183206.1214653</v>
      </c>
      <c r="L13" s="61">
        <f>25609668.67+48249088.8+56340305.78/1.9558-60304.33/1.9558+7255094.13/1.9558</f>
        <v>106344234.29789652</v>
      </c>
      <c r="M13" s="53">
        <f>50027085.65/1.9558</f>
        <v>25578835.080274057</v>
      </c>
      <c r="N13" s="13"/>
      <c r="O13" s="13"/>
      <c r="P13" s="13"/>
      <c r="Q13" s="26"/>
      <c r="R13" s="27"/>
      <c r="S13" s="16"/>
      <c r="T13" s="25"/>
    </row>
    <row r="14" spans="1:20" s="17" customFormat="1" ht="29.25" customHeight="1" x14ac:dyDescent="0.25">
      <c r="A14" s="41" t="s">
        <v>15</v>
      </c>
      <c r="B14" s="37" t="s">
        <v>8</v>
      </c>
      <c r="C14" s="24">
        <v>1311704793</v>
      </c>
      <c r="D14" s="24">
        <v>231477320</v>
      </c>
      <c r="E14" s="24">
        <v>1543182113</v>
      </c>
      <c r="F14" s="24">
        <v>74417502.799999997</v>
      </c>
      <c r="G14" s="24">
        <f>230676740.17+13538034.31</f>
        <v>244214774.47999999</v>
      </c>
      <c r="H14" s="24">
        <f>+F14+G14</f>
        <v>318632277.27999997</v>
      </c>
      <c r="I14" s="24">
        <v>564672237.04039514</v>
      </c>
      <c r="J14" s="24">
        <v>99648041.830657959</v>
      </c>
      <c r="K14" s="24">
        <v>664320278.8710531</v>
      </c>
      <c r="L14" s="62">
        <f>120898605.917609+18501673.28+11666823.52+31982305.55+89589913.78/1.9558+65772509.63/1.9558-21943.31/1.9558+73128505.32/1.9558+34611356.31/1.9558</f>
        <v>317562314.3571887</v>
      </c>
      <c r="M14" s="24">
        <f>56363297.09+162381786.29/1.9558</f>
        <v>139389059.58616525</v>
      </c>
      <c r="N14" s="13"/>
      <c r="O14" s="13"/>
      <c r="P14" s="13"/>
      <c r="Q14" s="26"/>
      <c r="R14" s="27"/>
      <c r="S14" s="16"/>
    </row>
    <row r="15" spans="1:20" s="17" customFormat="1" ht="29.25" customHeight="1" x14ac:dyDescent="0.25">
      <c r="A15" s="44" t="s">
        <v>16</v>
      </c>
      <c r="B15" s="37" t="s">
        <v>8</v>
      </c>
      <c r="C15" s="24">
        <v>938665315</v>
      </c>
      <c r="D15" s="24">
        <v>153582762</v>
      </c>
      <c r="E15" s="24">
        <f t="shared" si="8"/>
        <v>1092248077</v>
      </c>
      <c r="F15" s="24">
        <v>78258960.670000002</v>
      </c>
      <c r="G15" s="24">
        <f>289116665.02+15560695.6+891059.76</f>
        <v>305568420.38</v>
      </c>
      <c r="H15" s="24">
        <f t="shared" ref="H15:H19" si="10">+F15+G15</f>
        <v>383827381.05000001</v>
      </c>
      <c r="I15" s="24">
        <v>410569815.38686013</v>
      </c>
      <c r="J15" s="24">
        <v>64378646.673139818</v>
      </c>
      <c r="K15" s="24">
        <f t="shared" si="9"/>
        <v>474948462.05999994</v>
      </c>
      <c r="L15" s="62">
        <f>238535151.46278+23270140.52+18999586.67+5333755.13+32670605.23+13737946.36+75995543.47/1.9558-170032.4/1.9558+41706552.02/1.9558+22635595.55/1.9558</f>
        <v>404214870.53486198</v>
      </c>
      <c r="M15" s="24">
        <f>130663671.3+(219545983.91+36770765.1)/1.9558</f>
        <v>261718354.29928416</v>
      </c>
      <c r="N15" s="13"/>
      <c r="O15" s="13"/>
      <c r="P15" s="13"/>
      <c r="Q15" s="26"/>
      <c r="R15" s="27"/>
      <c r="S15" s="16"/>
    </row>
    <row r="16" spans="1:20" s="17" customFormat="1" ht="29.25" customHeight="1" x14ac:dyDescent="0.25">
      <c r="A16" s="41" t="s">
        <v>17</v>
      </c>
      <c r="B16" s="43" t="s">
        <v>8</v>
      </c>
      <c r="C16" s="24">
        <v>1123075325</v>
      </c>
      <c r="D16" s="24">
        <v>198189765</v>
      </c>
      <c r="E16" s="24">
        <f t="shared" si="8"/>
        <v>1321265090</v>
      </c>
      <c r="F16" s="24">
        <v>76213076.126249999</v>
      </c>
      <c r="G16" s="24">
        <f>348943452.49+24240310.45</f>
        <v>373183762.94</v>
      </c>
      <c r="H16" s="24">
        <f t="shared" si="10"/>
        <v>449396839.06624997</v>
      </c>
      <c r="I16" s="24">
        <v>447243705.03750002</v>
      </c>
      <c r="J16" s="24">
        <v>78925359.712499991</v>
      </c>
      <c r="K16" s="24">
        <f t="shared" si="9"/>
        <v>526169064.75</v>
      </c>
      <c r="L16" s="62">
        <f>302655609.410867+28273779.6+11426268.01+110066050.79/1.9558+109155839.56/1.9558-5033928.6/1.9558+61972809.48/1.9558</f>
        <v>483556583.10226595</v>
      </c>
      <c r="M16" s="24">
        <f>205479323.49+262668803.8/1.9558</f>
        <v>339781810.3495971</v>
      </c>
      <c r="N16" s="13"/>
      <c r="O16" s="57"/>
      <c r="P16" s="57"/>
      <c r="Q16" s="58"/>
      <c r="R16" s="27"/>
      <c r="S16" s="16"/>
    </row>
    <row r="17" spans="1:19" s="17" customFormat="1" ht="29.25" customHeight="1" x14ac:dyDescent="0.25">
      <c r="A17" s="45" t="s">
        <v>18</v>
      </c>
      <c r="B17" s="43" t="s">
        <v>8</v>
      </c>
      <c r="C17" s="24">
        <v>102000000</v>
      </c>
      <c r="D17" s="24">
        <v>0</v>
      </c>
      <c r="E17" s="24">
        <f t="shared" si="8"/>
        <v>102000000</v>
      </c>
      <c r="F17" s="24">
        <v>6502500</v>
      </c>
      <c r="G17" s="24">
        <v>95497500</v>
      </c>
      <c r="H17" s="24">
        <f t="shared" si="10"/>
        <v>102000000</v>
      </c>
      <c r="I17" s="24">
        <v>102000000</v>
      </c>
      <c r="J17" s="24">
        <v>0</v>
      </c>
      <c r="K17" s="24">
        <f t="shared" si="9"/>
        <v>102000000</v>
      </c>
      <c r="L17" s="62">
        <f>95335762.33+6665802.24</f>
        <v>102001564.56999999</v>
      </c>
      <c r="M17" s="24">
        <f>95335762.33+13036976.03/1.9558</f>
        <v>102001564.57460579</v>
      </c>
      <c r="N17" s="35"/>
      <c r="O17" s="57"/>
      <c r="P17" s="57"/>
      <c r="Q17" s="57"/>
      <c r="R17" s="27"/>
      <c r="S17" s="16"/>
    </row>
    <row r="18" spans="1:19" s="17" customFormat="1" ht="29.25" customHeight="1" x14ac:dyDescent="0.25">
      <c r="A18" s="41" t="s">
        <v>19</v>
      </c>
      <c r="B18" s="37" t="s">
        <v>8</v>
      </c>
      <c r="C18" s="24">
        <f>285531663-1500000</f>
        <v>284031663</v>
      </c>
      <c r="D18" s="24">
        <v>50123236</v>
      </c>
      <c r="E18" s="24">
        <f t="shared" si="8"/>
        <v>334154899</v>
      </c>
      <c r="F18" s="24">
        <v>16182582.485000001</v>
      </c>
      <c r="G18" s="24">
        <v>41562527.939999998</v>
      </c>
      <c r="H18" s="24">
        <f t="shared" si="10"/>
        <v>57745110.424999997</v>
      </c>
      <c r="I18" s="24">
        <v>57727597.178499997</v>
      </c>
      <c r="J18" s="24">
        <v>10187223.031499999</v>
      </c>
      <c r="K18" s="24">
        <f t="shared" si="9"/>
        <v>67914820.209999993</v>
      </c>
      <c r="L18" s="62">
        <f>16270154.7+4500295.79+10578258.31/1.9558+4225158.04+44572353.08/1.9558+2162548.55/1.9558-14663.43/1.9558+3941132.74/1.9558</f>
        <v>56307414.057150006</v>
      </c>
      <c r="M18" s="24">
        <f>6606576.12+27687042.08/1.9558</f>
        <v>20762953.091060434</v>
      </c>
      <c r="N18" s="35"/>
      <c r="O18" s="57"/>
      <c r="P18" s="57"/>
      <c r="Q18" s="58"/>
      <c r="R18" s="27"/>
      <c r="S18" s="16"/>
    </row>
    <row r="19" spans="1:19" s="17" customFormat="1" ht="29.25" customHeight="1" x14ac:dyDescent="0.25">
      <c r="A19" s="41" t="s">
        <v>20</v>
      </c>
      <c r="B19" s="37" t="s">
        <v>8</v>
      </c>
      <c r="C19" s="24">
        <v>104815264</v>
      </c>
      <c r="D19" s="24">
        <v>18496812</v>
      </c>
      <c r="E19" s="24">
        <f t="shared" si="8"/>
        <v>123312076</v>
      </c>
      <c r="F19" s="24">
        <v>11529679.040000001</v>
      </c>
      <c r="G19" s="24">
        <v>51495402.439999998</v>
      </c>
      <c r="H19" s="24">
        <f t="shared" si="10"/>
        <v>63025081.479999997</v>
      </c>
      <c r="I19" s="24">
        <v>69197521.463</v>
      </c>
      <c r="J19" s="24">
        <v>12211327.317</v>
      </c>
      <c r="K19" s="24">
        <f t="shared" si="9"/>
        <v>81408848.780000001</v>
      </c>
      <c r="L19" s="62">
        <f>41994853.86+1440625.95+2343431.15+3257686.89+5408465.12+19029018.24/1.9558-5526.51/1.9558+8829291.05/1.9558</f>
        <v>68686183.115209118</v>
      </c>
      <c r="M19" s="24">
        <f>28256914.94+29680710.41/1.9558</f>
        <v>43432653.977733925</v>
      </c>
      <c r="N19" s="35"/>
      <c r="O19" s="57"/>
      <c r="P19" s="57"/>
      <c r="Q19" s="58"/>
      <c r="R19" s="27"/>
      <c r="S19" s="16"/>
    </row>
    <row r="20" spans="1:19" s="14" customFormat="1" ht="29.25" customHeight="1" x14ac:dyDescent="0.25">
      <c r="A20" s="68" t="s">
        <v>21</v>
      </c>
      <c r="B20" s="69"/>
      <c r="C20" s="24">
        <f>+C5+C8+C11+C14+C15+C16+C17+C18+C19</f>
        <v>7526106541</v>
      </c>
      <c r="D20" s="24">
        <f>+D5+D8+D11+D14+D15+D16+D17+D18+D19</f>
        <v>1298072406</v>
      </c>
      <c r="E20" s="24">
        <f t="shared" si="8"/>
        <v>8824178947</v>
      </c>
      <c r="F20" s="24">
        <f>+F5+F8+F11+F14+F15+F16+F17+F18+F19</f>
        <v>478543235.26125008</v>
      </c>
      <c r="G20" s="24">
        <f>+G5+G8+G11+G14+G15+G16+G17+G18+G19</f>
        <v>1725612560.5000002</v>
      </c>
      <c r="H20" s="24">
        <f>+H5+H8+H11+H14+H15+H16+H17+H18+H19</f>
        <v>2204155795.7612495</v>
      </c>
      <c r="I20" s="24">
        <f>+I5+I8+I11+I14+I15+I16+I17+I18+I19</f>
        <v>2565835937.6084094</v>
      </c>
      <c r="J20" s="24">
        <f t="shared" ref="J20:K20" si="11">+J5+J8+J11+J14+J15+J16+J17+J18+J19</f>
        <v>426719727.06517786</v>
      </c>
      <c r="K20" s="24">
        <f t="shared" si="11"/>
        <v>2992555664.6735878</v>
      </c>
      <c r="L20" s="24">
        <f>+L5+L8+L11+L14+L15+L16+L17+L18+L19</f>
        <v>2244271929.8853793</v>
      </c>
      <c r="M20" s="24">
        <f>+M5+M8+M11+M14+M15+M16+M17+M18+M19</f>
        <v>1327977372.0945289</v>
      </c>
      <c r="N20" s="34">
        <f>K20/E20</f>
        <v>0.33913134385052129</v>
      </c>
      <c r="O20" s="57"/>
      <c r="P20" s="57"/>
      <c r="Q20" s="57"/>
      <c r="R20" s="27"/>
      <c r="S20" s="15"/>
    </row>
    <row r="21" spans="1:19" s="14" customFormat="1" ht="29.25" customHeight="1" x14ac:dyDescent="0.2">
      <c r="A21" s="1"/>
      <c r="B21" s="1"/>
      <c r="C21" s="38"/>
      <c r="D21" s="38"/>
      <c r="E21" s="38"/>
      <c r="F21" s="38"/>
      <c r="G21" s="38">
        <v>1650202737.6600001</v>
      </c>
      <c r="H21" s="38">
        <v>2128745972.9212501</v>
      </c>
      <c r="I21" s="46"/>
      <c r="J21" s="47"/>
      <c r="K21" s="38">
        <v>2894510008.3227501</v>
      </c>
      <c r="L21" s="38">
        <v>2140717219.7054014</v>
      </c>
      <c r="M21" s="38"/>
      <c r="N21" s="34"/>
      <c r="O21" s="59"/>
      <c r="P21" s="59"/>
      <c r="Q21" s="59"/>
    </row>
    <row r="22" spans="1:19" s="14" customFormat="1" ht="29.25" customHeight="1" x14ac:dyDescent="0.2">
      <c r="A22" s="1"/>
      <c r="B22" s="1"/>
      <c r="C22" s="4"/>
      <c r="D22" s="4"/>
      <c r="E22" s="4"/>
      <c r="F22" s="4"/>
      <c r="G22" s="28">
        <f>+G20-G21</f>
        <v>75409822.840000153</v>
      </c>
      <c r="H22" s="28">
        <f>+H20-H21</f>
        <v>75409822.839999437</v>
      </c>
      <c r="I22" s="28"/>
      <c r="J22" s="28"/>
      <c r="K22" s="28"/>
      <c r="L22" s="28">
        <f>+L20-L21</f>
        <v>103554710.17997789</v>
      </c>
      <c r="M22" s="28"/>
      <c r="N22" s="34"/>
      <c r="O22" s="60"/>
      <c r="P22" s="57"/>
      <c r="Q22" s="57"/>
    </row>
    <row r="23" spans="1:19" s="14" customFormat="1" ht="29.25" customHeight="1" x14ac:dyDescent="0.2">
      <c r="A23" s="1"/>
      <c r="B23" s="1"/>
      <c r="C23" s="4"/>
      <c r="D23" s="4"/>
      <c r="E23" s="4"/>
      <c r="F23" s="4"/>
      <c r="G23" s="28"/>
      <c r="H23" s="28"/>
      <c r="I23" s="38"/>
      <c r="J23" s="38"/>
      <c r="K23" s="38">
        <f>+K20-K21</f>
        <v>98045656.350837708</v>
      </c>
      <c r="L23" s="38">
        <v>103554710.18000001</v>
      </c>
      <c r="M23" s="28"/>
      <c r="N23" s="36"/>
      <c r="O23" s="59"/>
      <c r="P23" s="59"/>
      <c r="Q23" s="59"/>
    </row>
    <row r="24" spans="1:19" s="14" customFormat="1" ht="29.25" customHeight="1" x14ac:dyDescent="0.2">
      <c r="A24" s="1"/>
      <c r="B24" s="1"/>
      <c r="C24" s="4"/>
      <c r="D24" s="4"/>
      <c r="E24" s="4"/>
      <c r="F24" s="4"/>
      <c r="G24" s="28">
        <f>+G20-G22</f>
        <v>1650202737.6600001</v>
      </c>
      <c r="H24" s="28"/>
      <c r="I24" s="39"/>
      <c r="J24" s="38"/>
      <c r="K24" s="38"/>
      <c r="L24" s="40">
        <f>+L22-L23</f>
        <v>-2.2113323211669922E-5</v>
      </c>
      <c r="M24" s="40"/>
      <c r="N24" s="36"/>
      <c r="O24" s="59"/>
      <c r="P24" s="59"/>
      <c r="Q24" s="59"/>
    </row>
    <row r="25" spans="1:19" s="14" customFormat="1" ht="29.25" customHeight="1" x14ac:dyDescent="0.2">
      <c r="A25" s="1"/>
      <c r="B25" s="1"/>
      <c r="C25" s="4"/>
      <c r="D25" s="4"/>
      <c r="E25" s="4"/>
      <c r="F25" s="4"/>
      <c r="G25" s="28"/>
      <c r="H25" s="4"/>
      <c r="I25" s="18"/>
      <c r="J25" s="4"/>
      <c r="K25" s="4"/>
      <c r="L25" s="21"/>
      <c r="M25" s="7"/>
      <c r="N25" s="36"/>
      <c r="O25" s="59"/>
      <c r="P25" s="59"/>
      <c r="Q25" s="59"/>
    </row>
    <row r="26" spans="1:19" s="14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18"/>
      <c r="J26" s="4"/>
      <c r="K26" s="4"/>
      <c r="L26" s="21"/>
      <c r="M26" s="7"/>
      <c r="N26" s="36"/>
      <c r="O26" s="59"/>
      <c r="P26" s="59"/>
      <c r="Q26" s="59"/>
    </row>
    <row r="27" spans="1:19" s="14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18"/>
      <c r="J27" s="4"/>
      <c r="K27" s="4"/>
      <c r="L27" s="21"/>
      <c r="M27" s="7"/>
      <c r="N27" s="36"/>
      <c r="O27" s="55"/>
      <c r="P27" s="55"/>
      <c r="Q27" s="56"/>
    </row>
    <row r="28" spans="1:19" s="14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5"/>
      <c r="J28" s="15"/>
      <c r="K28" s="19"/>
      <c r="L28" s="21"/>
      <c r="M28" s="7"/>
      <c r="N28" s="36"/>
      <c r="O28" s="36"/>
      <c r="P28" s="36"/>
    </row>
    <row r="29" spans="1:19" s="14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5"/>
      <c r="J29" s="15"/>
      <c r="K29" s="20"/>
      <c r="L29" s="21"/>
      <c r="M29" s="7"/>
      <c r="N29" s="36"/>
      <c r="O29" s="36"/>
      <c r="P29" s="36"/>
    </row>
    <row r="30" spans="1:19" x14ac:dyDescent="0.25">
      <c r="K30" s="20"/>
    </row>
    <row r="31" spans="1:19" x14ac:dyDescent="0.25">
      <c r="K31" s="20"/>
    </row>
    <row r="32" spans="1:19" x14ac:dyDescent="0.25">
      <c r="K32" s="20"/>
    </row>
    <row r="33" spans="11:11" x14ac:dyDescent="0.25">
      <c r="K33" s="20"/>
    </row>
    <row r="34" spans="11:11" x14ac:dyDescent="0.25">
      <c r="K34" s="20"/>
    </row>
    <row r="35" spans="11:11" x14ac:dyDescent="0.25">
      <c r="K35" s="20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9" orientation="landscape" r:id="rId1"/>
  <headerFooter alignWithMargins="0">
    <oddHeader>&amp;CФинансово изпълнение по ЕФРР, КФ, ЕСФ и ФЕПН 2014 -2020</oddHeader>
  </headerFooter>
  <ignoredErrors>
    <ignoredError sqref="E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2019-05-16T09:33:19Z</cp:lastPrinted>
  <dcterms:created xsi:type="dcterms:W3CDTF">2007-11-29T09:10:22Z</dcterms:created>
  <dcterms:modified xsi:type="dcterms:W3CDTF">2019-05-31T13:04:33Z</dcterms:modified>
</cp:coreProperties>
</file>